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2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Data!$A$2:$S$238</definedName>
  </definedNames>
  <calcPr calcId="144525"/>
  <fileRecoveryPr repairLoad="1"/>
</workbook>
</file>

<file path=xl/calcChain.xml><?xml version="1.0" encoding="utf-8"?>
<calcChain xmlns="http://schemas.openxmlformats.org/spreadsheetml/2006/main">
  <c r="K239" i="1" l="1"/>
  <c r="G214" i="1"/>
  <c r="K214" i="1"/>
  <c r="L214" i="1" s="1"/>
  <c r="M214" i="1" s="1"/>
  <c r="G205" i="1"/>
  <c r="K205" i="1"/>
  <c r="L205" i="1" s="1"/>
  <c r="M205" i="1" s="1"/>
  <c r="G183" i="1"/>
  <c r="K183" i="1"/>
  <c r="L183" i="1" s="1"/>
  <c r="M183" i="1" s="1"/>
  <c r="G182" i="1"/>
  <c r="K182" i="1"/>
  <c r="G170" i="1"/>
  <c r="K170" i="1"/>
  <c r="G148" i="1"/>
  <c r="K148" i="1"/>
  <c r="G135" i="1"/>
  <c r="K135" i="1"/>
  <c r="G130" i="1"/>
  <c r="K130" i="1"/>
  <c r="K119" i="1"/>
  <c r="G119" i="1"/>
  <c r="K112" i="1"/>
  <c r="G112" i="1"/>
  <c r="G104" i="1"/>
  <c r="K104" i="1"/>
  <c r="K85" i="1"/>
  <c r="G85" i="1"/>
  <c r="K5" i="1"/>
  <c r="L5" i="1" s="1"/>
  <c r="M5" i="1" s="1"/>
  <c r="K235" i="1"/>
  <c r="L235" i="1" s="1"/>
  <c r="M235" i="1" s="1"/>
  <c r="K234" i="1"/>
  <c r="L234" i="1" s="1"/>
  <c r="M234" i="1" s="1"/>
  <c r="K233" i="1"/>
  <c r="K232" i="1"/>
  <c r="L232" i="1" s="1"/>
  <c r="M232" i="1" s="1"/>
  <c r="K231" i="1"/>
  <c r="L231" i="1" s="1"/>
  <c r="M231" i="1" s="1"/>
  <c r="K230" i="1"/>
  <c r="L230" i="1" s="1"/>
  <c r="M230" i="1" s="1"/>
  <c r="K229" i="1"/>
  <c r="K228" i="1"/>
  <c r="K227" i="1"/>
  <c r="L227" i="1" s="1"/>
  <c r="M227" i="1" s="1"/>
  <c r="K226" i="1"/>
  <c r="L226" i="1" s="1"/>
  <c r="M226" i="1" s="1"/>
  <c r="K225" i="1"/>
  <c r="L225" i="1" s="1"/>
  <c r="M225" i="1" s="1"/>
  <c r="K224" i="1"/>
  <c r="L224" i="1" s="1"/>
  <c r="M224" i="1" s="1"/>
  <c r="K223" i="1"/>
  <c r="L223" i="1" s="1"/>
  <c r="M223" i="1" s="1"/>
  <c r="K222" i="1"/>
  <c r="L222" i="1" s="1"/>
  <c r="M222" i="1" s="1"/>
  <c r="K221" i="1"/>
  <c r="K220" i="1"/>
  <c r="K219" i="1"/>
  <c r="K218" i="1"/>
  <c r="L218" i="1" s="1"/>
  <c r="M218" i="1" s="1"/>
  <c r="K217" i="1"/>
  <c r="L217" i="1" s="1"/>
  <c r="M217" i="1" s="1"/>
  <c r="K216" i="1"/>
  <c r="L216" i="1" s="1"/>
  <c r="M216" i="1" s="1"/>
  <c r="K215" i="1"/>
  <c r="K213" i="1"/>
  <c r="L213" i="1" s="1"/>
  <c r="M213" i="1" s="1"/>
  <c r="K212" i="1"/>
  <c r="K211" i="1"/>
  <c r="L211" i="1" s="1"/>
  <c r="M211" i="1" s="1"/>
  <c r="K210" i="1"/>
  <c r="K209" i="1"/>
  <c r="K208" i="1"/>
  <c r="L208" i="1" s="1"/>
  <c r="M208" i="1" s="1"/>
  <c r="K207" i="1"/>
  <c r="L207" i="1" s="1"/>
  <c r="M207" i="1" s="1"/>
  <c r="K206" i="1"/>
  <c r="L206" i="1" s="1"/>
  <c r="M206" i="1" s="1"/>
  <c r="K204" i="1"/>
  <c r="L204" i="1" s="1"/>
  <c r="M204" i="1" s="1"/>
  <c r="K203" i="1"/>
  <c r="L203" i="1" s="1"/>
  <c r="M203" i="1" s="1"/>
  <c r="K202" i="1"/>
  <c r="L202" i="1" s="1"/>
  <c r="M202" i="1" s="1"/>
  <c r="K201" i="1"/>
  <c r="L201" i="1" s="1"/>
  <c r="M201" i="1" s="1"/>
  <c r="K200" i="1"/>
  <c r="K199" i="1"/>
  <c r="L199" i="1" s="1"/>
  <c r="M199" i="1" s="1"/>
  <c r="K198" i="1"/>
  <c r="L198" i="1" s="1"/>
  <c r="M198" i="1" s="1"/>
  <c r="K197" i="1"/>
  <c r="L197" i="1" s="1"/>
  <c r="M197" i="1" s="1"/>
  <c r="K196" i="1"/>
  <c r="L196" i="1" s="1"/>
  <c r="M196" i="1" s="1"/>
  <c r="K195" i="1"/>
  <c r="L195" i="1" s="1"/>
  <c r="M195" i="1" s="1"/>
  <c r="K194" i="1"/>
  <c r="L194" i="1" s="1"/>
  <c r="M194" i="1" s="1"/>
  <c r="K193" i="1"/>
  <c r="L193" i="1" s="1"/>
  <c r="M193" i="1" s="1"/>
  <c r="K192" i="1"/>
  <c r="K191" i="1"/>
  <c r="L191" i="1" s="1"/>
  <c r="M191" i="1" s="1"/>
  <c r="K190" i="1"/>
  <c r="L190" i="1" s="1"/>
  <c r="M190" i="1" s="1"/>
  <c r="K189" i="1"/>
  <c r="L189" i="1" s="1"/>
  <c r="M189" i="1" s="1"/>
  <c r="K188" i="1"/>
  <c r="K187" i="1"/>
  <c r="L187" i="1" s="1"/>
  <c r="M187" i="1" s="1"/>
  <c r="K186" i="1"/>
  <c r="K185" i="1"/>
  <c r="K184" i="1"/>
  <c r="L184" i="1" s="1"/>
  <c r="M184" i="1" s="1"/>
  <c r="K181" i="1"/>
  <c r="K180" i="1"/>
  <c r="L180" i="1" s="1"/>
  <c r="M180" i="1" s="1"/>
  <c r="K179" i="1"/>
  <c r="K178" i="1"/>
  <c r="L178" i="1" s="1"/>
  <c r="M178" i="1" s="1"/>
  <c r="K177" i="1"/>
  <c r="K176" i="1"/>
  <c r="K175" i="1"/>
  <c r="L175" i="1" s="1"/>
  <c r="M175" i="1" s="1"/>
  <c r="K174" i="1"/>
  <c r="L174" i="1" s="1"/>
  <c r="M174" i="1" s="1"/>
  <c r="K173" i="1"/>
  <c r="L173" i="1" s="1"/>
  <c r="M173" i="1" s="1"/>
  <c r="K172" i="1"/>
  <c r="L172" i="1" s="1"/>
  <c r="M172" i="1" s="1"/>
  <c r="K171" i="1"/>
  <c r="L171" i="1" s="1"/>
  <c r="M171" i="1" s="1"/>
  <c r="K169" i="1"/>
  <c r="K168" i="1"/>
  <c r="L168" i="1" s="1"/>
  <c r="M168" i="1" s="1"/>
  <c r="K167" i="1"/>
  <c r="K166" i="1"/>
  <c r="L166" i="1" s="1"/>
  <c r="M166" i="1" s="1"/>
  <c r="K165" i="1"/>
  <c r="L165" i="1" s="1"/>
  <c r="M165" i="1" s="1"/>
  <c r="K164" i="1"/>
  <c r="L164" i="1" s="1"/>
  <c r="M164" i="1" s="1"/>
  <c r="K163" i="1"/>
  <c r="K162" i="1"/>
  <c r="L162" i="1" s="1"/>
  <c r="M162" i="1" s="1"/>
  <c r="K161" i="1"/>
  <c r="K160" i="1"/>
  <c r="K159" i="1"/>
  <c r="L159" i="1" s="1"/>
  <c r="M159" i="1" s="1"/>
  <c r="K158" i="1"/>
  <c r="K157" i="1"/>
  <c r="L157" i="1" s="1"/>
  <c r="M157" i="1" s="1"/>
  <c r="K156" i="1"/>
  <c r="L156" i="1" s="1"/>
  <c r="M156" i="1" s="1"/>
  <c r="K155" i="1"/>
  <c r="L155" i="1" s="1"/>
  <c r="M155" i="1" s="1"/>
  <c r="K154" i="1"/>
  <c r="L154" i="1" s="1"/>
  <c r="M154" i="1" s="1"/>
  <c r="K153" i="1"/>
  <c r="K152" i="1"/>
  <c r="L152" i="1" s="1"/>
  <c r="M152" i="1" s="1"/>
  <c r="K151" i="1"/>
  <c r="L151" i="1" s="1"/>
  <c r="M151" i="1" s="1"/>
  <c r="K150" i="1"/>
  <c r="L150" i="1" s="1"/>
  <c r="M150" i="1" s="1"/>
  <c r="K149" i="1"/>
  <c r="L149" i="1" s="1"/>
  <c r="M149" i="1" s="1"/>
  <c r="K147" i="1"/>
  <c r="L147" i="1" s="1"/>
  <c r="M147" i="1" s="1"/>
  <c r="K146" i="1"/>
  <c r="L146" i="1" s="1"/>
  <c r="M146" i="1" s="1"/>
  <c r="K145" i="1"/>
  <c r="K144" i="1"/>
  <c r="L144" i="1" s="1"/>
  <c r="M144" i="1" s="1"/>
  <c r="K143" i="1"/>
  <c r="K142" i="1"/>
  <c r="L142" i="1" s="1"/>
  <c r="M142" i="1" s="1"/>
  <c r="K141" i="1"/>
  <c r="L141" i="1" s="1"/>
  <c r="M141" i="1" s="1"/>
  <c r="K140" i="1"/>
  <c r="L140" i="1" s="1"/>
  <c r="M140" i="1" s="1"/>
  <c r="K139" i="1"/>
  <c r="L139" i="1" s="1"/>
  <c r="M139" i="1" s="1"/>
  <c r="K138" i="1"/>
  <c r="K137" i="1"/>
  <c r="K136" i="1"/>
  <c r="L136" i="1" s="1"/>
  <c r="M136" i="1" s="1"/>
  <c r="K134" i="1"/>
  <c r="L134" i="1" s="1"/>
  <c r="M134" i="1" s="1"/>
  <c r="K133" i="1"/>
  <c r="K132" i="1"/>
  <c r="K131" i="1"/>
  <c r="L131" i="1" s="1"/>
  <c r="M131" i="1" s="1"/>
  <c r="K129" i="1"/>
  <c r="L129" i="1" s="1"/>
  <c r="M129" i="1" s="1"/>
  <c r="K128" i="1"/>
  <c r="L128" i="1" s="1"/>
  <c r="M128" i="1" s="1"/>
  <c r="K127" i="1"/>
  <c r="L127" i="1" s="1"/>
  <c r="M127" i="1" s="1"/>
  <c r="K126" i="1"/>
  <c r="L126" i="1" s="1"/>
  <c r="M126" i="1" s="1"/>
  <c r="K125" i="1"/>
  <c r="L125" i="1" s="1"/>
  <c r="M125" i="1" s="1"/>
  <c r="K124" i="1"/>
  <c r="L124" i="1" s="1"/>
  <c r="M124" i="1" s="1"/>
  <c r="K123" i="1"/>
  <c r="L123" i="1" s="1"/>
  <c r="M123" i="1" s="1"/>
  <c r="K122" i="1"/>
  <c r="L122" i="1" s="1"/>
  <c r="M122" i="1" s="1"/>
  <c r="K121" i="1"/>
  <c r="K120" i="1"/>
  <c r="L120" i="1" s="1"/>
  <c r="M120" i="1" s="1"/>
  <c r="K118" i="1"/>
  <c r="K117" i="1"/>
  <c r="L117" i="1" s="1"/>
  <c r="M117" i="1" s="1"/>
  <c r="K116" i="1"/>
  <c r="K115" i="1"/>
  <c r="K114" i="1"/>
  <c r="K113" i="1"/>
  <c r="L113" i="1" s="1"/>
  <c r="M113" i="1" s="1"/>
  <c r="K111" i="1"/>
  <c r="K110" i="1"/>
  <c r="L110" i="1" s="1"/>
  <c r="M110" i="1" s="1"/>
  <c r="K109" i="1"/>
  <c r="K108" i="1"/>
  <c r="K107" i="1"/>
  <c r="K106" i="1"/>
  <c r="L106" i="1" s="1"/>
  <c r="M106" i="1" s="1"/>
  <c r="K105" i="1"/>
  <c r="K103" i="1"/>
  <c r="L103" i="1" s="1"/>
  <c r="M103" i="1" s="1"/>
  <c r="K102" i="1"/>
  <c r="L102" i="1" s="1"/>
  <c r="M102" i="1" s="1"/>
  <c r="K101" i="1"/>
  <c r="L101" i="1" s="1"/>
  <c r="M101" i="1" s="1"/>
  <c r="K100" i="1"/>
  <c r="L100" i="1" s="1"/>
  <c r="M100" i="1" s="1"/>
  <c r="K99" i="1"/>
  <c r="L99" i="1" s="1"/>
  <c r="M99" i="1" s="1"/>
  <c r="K98" i="1"/>
  <c r="L98" i="1" s="1"/>
  <c r="M98" i="1" s="1"/>
  <c r="K97" i="1"/>
  <c r="K96" i="1"/>
  <c r="K95" i="1"/>
  <c r="L95" i="1" s="1"/>
  <c r="M95" i="1" s="1"/>
  <c r="K94" i="1"/>
  <c r="L94" i="1" s="1"/>
  <c r="M94" i="1" s="1"/>
  <c r="K93" i="1"/>
  <c r="K92" i="1"/>
  <c r="K91" i="1"/>
  <c r="K90" i="1"/>
  <c r="K89" i="1"/>
  <c r="L89" i="1" s="1"/>
  <c r="M89" i="1" s="1"/>
  <c r="K88" i="1"/>
  <c r="K87" i="1"/>
  <c r="L87" i="1" s="1"/>
  <c r="M87" i="1" s="1"/>
  <c r="K86" i="1"/>
  <c r="L86" i="1" s="1"/>
  <c r="M86" i="1" s="1"/>
  <c r="K84" i="1"/>
  <c r="K83" i="1"/>
  <c r="L83" i="1" s="1"/>
  <c r="M83" i="1" s="1"/>
  <c r="K82" i="1"/>
  <c r="K81" i="1"/>
  <c r="L81" i="1" s="1"/>
  <c r="M81" i="1" s="1"/>
  <c r="K80" i="1"/>
  <c r="K79" i="1"/>
  <c r="K78" i="1"/>
  <c r="L78" i="1" s="1"/>
  <c r="M78" i="1" s="1"/>
  <c r="K77" i="1"/>
  <c r="L77" i="1" s="1"/>
  <c r="M77" i="1" s="1"/>
  <c r="K76" i="1"/>
  <c r="L76" i="1" s="1"/>
  <c r="M76" i="1" s="1"/>
  <c r="K75" i="1"/>
  <c r="L75" i="1" s="1"/>
  <c r="M75" i="1" s="1"/>
  <c r="K74" i="1"/>
  <c r="L74" i="1" s="1"/>
  <c r="M74" i="1" s="1"/>
  <c r="K73" i="1"/>
  <c r="L73" i="1" s="1"/>
  <c r="M73" i="1" s="1"/>
  <c r="K72" i="1"/>
  <c r="K71" i="1"/>
  <c r="K70" i="1"/>
  <c r="L70" i="1" s="1"/>
  <c r="M70" i="1" s="1"/>
  <c r="K69" i="1"/>
  <c r="L69" i="1" s="1"/>
  <c r="M69" i="1" s="1"/>
  <c r="K68" i="1"/>
  <c r="K67" i="1"/>
  <c r="K66" i="1"/>
  <c r="L66" i="1" s="1"/>
  <c r="M66" i="1" s="1"/>
  <c r="K65" i="1"/>
  <c r="L65" i="1" s="1"/>
  <c r="M65" i="1" s="1"/>
  <c r="K64" i="1"/>
  <c r="L64" i="1" s="1"/>
  <c r="M64" i="1" s="1"/>
  <c r="K63" i="1"/>
  <c r="K62" i="1"/>
  <c r="L62" i="1" s="1"/>
  <c r="M62" i="1" s="1"/>
  <c r="K61" i="1"/>
  <c r="L61" i="1" s="1"/>
  <c r="M61" i="1" s="1"/>
  <c r="K60" i="1"/>
  <c r="K59" i="1"/>
  <c r="K58" i="1"/>
  <c r="K57" i="1"/>
  <c r="L57" i="1" s="1"/>
  <c r="M57" i="1" s="1"/>
  <c r="K56" i="1"/>
  <c r="K55" i="1"/>
  <c r="K54" i="1"/>
  <c r="L54" i="1" s="1"/>
  <c r="M54" i="1" s="1"/>
  <c r="K53" i="1"/>
  <c r="K52" i="1"/>
  <c r="K51" i="1"/>
  <c r="L51" i="1" s="1"/>
  <c r="M51" i="1" s="1"/>
  <c r="K50" i="1"/>
  <c r="L50" i="1" s="1"/>
  <c r="M50" i="1" s="1"/>
  <c r="K49" i="1"/>
  <c r="K48" i="1"/>
  <c r="L48" i="1" s="1"/>
  <c r="M48" i="1" s="1"/>
  <c r="K47" i="1"/>
  <c r="L47" i="1" s="1"/>
  <c r="M47" i="1" s="1"/>
  <c r="K46" i="1"/>
  <c r="K45" i="1"/>
  <c r="L45" i="1" s="1"/>
  <c r="M45" i="1" s="1"/>
  <c r="K44" i="1"/>
  <c r="L44" i="1" s="1"/>
  <c r="M44" i="1" s="1"/>
  <c r="K43" i="1"/>
  <c r="K42" i="1"/>
  <c r="L42" i="1" s="1"/>
  <c r="M42" i="1" s="1"/>
  <c r="K41" i="1"/>
  <c r="L41" i="1" s="1"/>
  <c r="M41" i="1" s="1"/>
  <c r="K40" i="1"/>
  <c r="K39" i="1"/>
  <c r="L39" i="1" s="1"/>
  <c r="M39" i="1" s="1"/>
  <c r="K38" i="1"/>
  <c r="K37" i="1"/>
  <c r="K36" i="1"/>
  <c r="L36" i="1" s="1"/>
  <c r="M36" i="1" s="1"/>
  <c r="K35" i="1"/>
  <c r="L35" i="1" s="1"/>
  <c r="M35" i="1" s="1"/>
  <c r="K34" i="1"/>
  <c r="K33" i="1"/>
  <c r="K32" i="1"/>
  <c r="K31" i="1"/>
  <c r="L31" i="1" s="1"/>
  <c r="M31" i="1" s="1"/>
  <c r="K30" i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4" i="1"/>
  <c r="K23" i="1"/>
  <c r="K22" i="1"/>
  <c r="L22" i="1" s="1"/>
  <c r="M22" i="1" s="1"/>
  <c r="K21" i="1"/>
  <c r="L21" i="1" s="1"/>
  <c r="M21" i="1" s="1"/>
  <c r="K20" i="1"/>
  <c r="L20" i="1" s="1"/>
  <c r="M20" i="1" s="1"/>
  <c r="K19" i="1"/>
  <c r="K18" i="1"/>
  <c r="K17" i="1"/>
  <c r="K16" i="1"/>
  <c r="L16" i="1" s="1"/>
  <c r="M16" i="1" s="1"/>
  <c r="K15" i="1"/>
  <c r="K14" i="1"/>
  <c r="L14" i="1" s="1"/>
  <c r="M14" i="1" s="1"/>
  <c r="K13" i="1"/>
  <c r="L13" i="1" s="1"/>
  <c r="M13" i="1" s="1"/>
  <c r="K12" i="1"/>
  <c r="L12" i="1" s="1"/>
  <c r="M12" i="1" s="1"/>
  <c r="K11" i="1"/>
  <c r="K10" i="1"/>
  <c r="L10" i="1" s="1"/>
  <c r="M10" i="1" s="1"/>
  <c r="K9" i="1"/>
  <c r="K8" i="1"/>
  <c r="L8" i="1" s="1"/>
  <c r="M8" i="1" s="1"/>
  <c r="K7" i="1"/>
  <c r="L7" i="1" s="1"/>
  <c r="M7" i="1" s="1"/>
  <c r="K6" i="1"/>
  <c r="L6" i="1" s="1"/>
  <c r="M6" i="1" s="1"/>
  <c r="K4" i="1"/>
  <c r="L135" i="1" l="1"/>
  <c r="M135" i="1" s="1"/>
  <c r="L170" i="1"/>
  <c r="M170" i="1" s="1"/>
  <c r="L148" i="1"/>
  <c r="M148" i="1" s="1"/>
  <c r="L182" i="1"/>
  <c r="M182" i="1" s="1"/>
  <c r="L85" i="1"/>
  <c r="M85" i="1" s="1"/>
  <c r="L112" i="1"/>
  <c r="M112" i="1" s="1"/>
  <c r="L119" i="1"/>
  <c r="M119" i="1" s="1"/>
  <c r="L130" i="1"/>
  <c r="M130" i="1" s="1"/>
  <c r="L104" i="1"/>
  <c r="M104" i="1" s="1"/>
  <c r="G143" i="1"/>
  <c r="L143" i="1" s="1"/>
  <c r="M143" i="1" s="1"/>
  <c r="G92" i="1"/>
  <c r="L92" i="1" s="1"/>
  <c r="M92" i="1" s="1"/>
  <c r="G215" i="1"/>
  <c r="L215" i="1" s="1"/>
  <c r="M215" i="1" s="1"/>
  <c r="H236" i="1"/>
  <c r="B22" i="2"/>
  <c r="J236" i="1" l="1"/>
  <c r="K236" i="1"/>
  <c r="K237" i="1" s="1"/>
  <c r="G93" i="1"/>
  <c r="L93" i="1" s="1"/>
  <c r="M93" i="1" s="1"/>
  <c r="F231" i="1" l="1"/>
  <c r="F224" i="1"/>
  <c r="F195" i="1"/>
  <c r="F69" i="1"/>
  <c r="G166" i="1"/>
  <c r="F198" i="1" l="1"/>
  <c r="F157" i="1"/>
  <c r="F106" i="1"/>
  <c r="F100" i="1"/>
  <c r="F86" i="1"/>
  <c r="F64" i="1"/>
  <c r="F42" i="1"/>
  <c r="F41" i="1"/>
  <c r="G222" i="1"/>
  <c r="G184" i="1"/>
  <c r="G141" i="1"/>
  <c r="G116" i="1"/>
  <c r="L116" i="1" s="1"/>
  <c r="M116" i="1" s="1"/>
  <c r="G89" i="1"/>
  <c r="G75" i="1"/>
  <c r="G70" i="1"/>
  <c r="G66" i="1"/>
  <c r="G80" i="1"/>
  <c r="L80" i="1" s="1"/>
  <c r="M80" i="1" s="1"/>
  <c r="G79" i="1"/>
  <c r="L79" i="1" s="1"/>
  <c r="M79" i="1" s="1"/>
  <c r="G6" i="1" l="1"/>
  <c r="G7" i="1"/>
  <c r="G8" i="1"/>
  <c r="G9" i="1"/>
  <c r="L9" i="1" s="1"/>
  <c r="M9" i="1" s="1"/>
  <c r="G10" i="1"/>
  <c r="G11" i="1"/>
  <c r="L11" i="1" s="1"/>
  <c r="M11" i="1" s="1"/>
  <c r="G12" i="1"/>
  <c r="G13" i="1"/>
  <c r="G14" i="1"/>
  <c r="G15" i="1"/>
  <c r="L15" i="1" s="1"/>
  <c r="M15" i="1" s="1"/>
  <c r="G16" i="1"/>
  <c r="G17" i="1"/>
  <c r="L17" i="1" s="1"/>
  <c r="M17" i="1" s="1"/>
  <c r="G18" i="1"/>
  <c r="L18" i="1" s="1"/>
  <c r="M18" i="1" s="1"/>
  <c r="G19" i="1"/>
  <c r="L19" i="1" s="1"/>
  <c r="M19" i="1" s="1"/>
  <c r="G20" i="1"/>
  <c r="G21" i="1"/>
  <c r="G22" i="1"/>
  <c r="G23" i="1"/>
  <c r="L23" i="1" s="1"/>
  <c r="M23" i="1" s="1"/>
  <c r="G24" i="1"/>
  <c r="L24" i="1" s="1"/>
  <c r="M24" i="1" s="1"/>
  <c r="G25" i="1"/>
  <c r="G26" i="1"/>
  <c r="G27" i="1"/>
  <c r="G28" i="1"/>
  <c r="G29" i="1"/>
  <c r="G30" i="1"/>
  <c r="L30" i="1" s="1"/>
  <c r="M30" i="1" s="1"/>
  <c r="G31" i="1"/>
  <c r="G32" i="1"/>
  <c r="L32" i="1" s="1"/>
  <c r="M32" i="1" s="1"/>
  <c r="G33" i="1"/>
  <c r="L33" i="1" s="1"/>
  <c r="M33" i="1" s="1"/>
  <c r="G34" i="1"/>
  <c r="L34" i="1" s="1"/>
  <c r="M34" i="1" s="1"/>
  <c r="G35" i="1"/>
  <c r="G36" i="1"/>
  <c r="G37" i="1"/>
  <c r="L37" i="1" s="1"/>
  <c r="M37" i="1" s="1"/>
  <c r="G38" i="1"/>
  <c r="L38" i="1" s="1"/>
  <c r="M38" i="1" s="1"/>
  <c r="G39" i="1"/>
  <c r="G40" i="1"/>
  <c r="L40" i="1" s="1"/>
  <c r="M40" i="1" s="1"/>
  <c r="G41" i="1"/>
  <c r="G42" i="1"/>
  <c r="G43" i="1"/>
  <c r="L43" i="1" s="1"/>
  <c r="M43" i="1" s="1"/>
  <c r="G44" i="1"/>
  <c r="G45" i="1"/>
  <c r="G46" i="1"/>
  <c r="L46" i="1" s="1"/>
  <c r="M46" i="1" s="1"/>
  <c r="G47" i="1"/>
  <c r="G48" i="1"/>
  <c r="G49" i="1"/>
  <c r="L49" i="1" s="1"/>
  <c r="M49" i="1" s="1"/>
  <c r="G50" i="1"/>
  <c r="G51" i="1"/>
  <c r="G52" i="1"/>
  <c r="L52" i="1" s="1"/>
  <c r="M52" i="1" s="1"/>
  <c r="G53" i="1"/>
  <c r="L53" i="1" s="1"/>
  <c r="M53" i="1" s="1"/>
  <c r="G54" i="1"/>
  <c r="G55" i="1"/>
  <c r="L55" i="1" s="1"/>
  <c r="M55" i="1" s="1"/>
  <c r="G56" i="1"/>
  <c r="L56" i="1" s="1"/>
  <c r="M56" i="1" s="1"/>
  <c r="G57" i="1"/>
  <c r="G58" i="1"/>
  <c r="L58" i="1" s="1"/>
  <c r="M58" i="1" s="1"/>
  <c r="G59" i="1"/>
  <c r="L59" i="1" s="1"/>
  <c r="M59" i="1" s="1"/>
  <c r="G60" i="1"/>
  <c r="L60" i="1" s="1"/>
  <c r="M60" i="1" s="1"/>
  <c r="G61" i="1"/>
  <c r="G62" i="1"/>
  <c r="G63" i="1"/>
  <c r="L63" i="1" s="1"/>
  <c r="M63" i="1" s="1"/>
  <c r="G64" i="1"/>
  <c r="G65" i="1"/>
  <c r="G67" i="1"/>
  <c r="L67" i="1" s="1"/>
  <c r="M67" i="1" s="1"/>
  <c r="G68" i="1"/>
  <c r="L68" i="1" s="1"/>
  <c r="M68" i="1" s="1"/>
  <c r="G69" i="1"/>
  <c r="G71" i="1"/>
  <c r="L71" i="1" s="1"/>
  <c r="M71" i="1" s="1"/>
  <c r="G72" i="1"/>
  <c r="L72" i="1" s="1"/>
  <c r="M72" i="1" s="1"/>
  <c r="G73" i="1"/>
  <c r="G74" i="1"/>
  <c r="G76" i="1"/>
  <c r="G77" i="1"/>
  <c r="G78" i="1"/>
  <c r="G81" i="1"/>
  <c r="G82" i="1"/>
  <c r="L82" i="1" s="1"/>
  <c r="M82" i="1" s="1"/>
  <c r="G83" i="1"/>
  <c r="G84" i="1"/>
  <c r="L84" i="1" s="1"/>
  <c r="M84" i="1" s="1"/>
  <c r="G86" i="1"/>
  <c r="G87" i="1"/>
  <c r="G88" i="1"/>
  <c r="L88" i="1" s="1"/>
  <c r="M88" i="1" s="1"/>
  <c r="G90" i="1"/>
  <c r="L90" i="1" s="1"/>
  <c r="M90" i="1" s="1"/>
  <c r="G91" i="1"/>
  <c r="L91" i="1" s="1"/>
  <c r="M91" i="1" s="1"/>
  <c r="G94" i="1"/>
  <c r="G95" i="1"/>
  <c r="G96" i="1"/>
  <c r="L96" i="1" s="1"/>
  <c r="M96" i="1" s="1"/>
  <c r="G97" i="1"/>
  <c r="L97" i="1" s="1"/>
  <c r="M97" i="1" s="1"/>
  <c r="G98" i="1"/>
  <c r="G99" i="1"/>
  <c r="G100" i="1"/>
  <c r="G101" i="1"/>
  <c r="G102" i="1"/>
  <c r="G103" i="1"/>
  <c r="G105" i="1"/>
  <c r="L105" i="1" s="1"/>
  <c r="M105" i="1" s="1"/>
  <c r="G106" i="1"/>
  <c r="G107" i="1"/>
  <c r="L107" i="1" s="1"/>
  <c r="M107" i="1" s="1"/>
  <c r="G108" i="1"/>
  <c r="L108" i="1" s="1"/>
  <c r="M108" i="1" s="1"/>
  <c r="G109" i="1"/>
  <c r="L109" i="1" s="1"/>
  <c r="M109" i="1" s="1"/>
  <c r="G110" i="1"/>
  <c r="G111" i="1"/>
  <c r="L111" i="1" s="1"/>
  <c r="M111" i="1" s="1"/>
  <c r="G113" i="1"/>
  <c r="G114" i="1"/>
  <c r="L114" i="1" s="1"/>
  <c r="M114" i="1" s="1"/>
  <c r="G115" i="1"/>
  <c r="L115" i="1" s="1"/>
  <c r="M115" i="1" s="1"/>
  <c r="G117" i="1"/>
  <c r="G118" i="1"/>
  <c r="L118" i="1" s="1"/>
  <c r="M118" i="1" s="1"/>
  <c r="G120" i="1"/>
  <c r="G121" i="1"/>
  <c r="L121" i="1" s="1"/>
  <c r="M121" i="1" s="1"/>
  <c r="G122" i="1"/>
  <c r="G123" i="1"/>
  <c r="G124" i="1"/>
  <c r="G125" i="1"/>
  <c r="G126" i="1"/>
  <c r="G127" i="1"/>
  <c r="G128" i="1"/>
  <c r="G129" i="1"/>
  <c r="G131" i="1"/>
  <c r="G132" i="1"/>
  <c r="L132" i="1" s="1"/>
  <c r="M132" i="1" s="1"/>
  <c r="G133" i="1"/>
  <c r="L133" i="1" s="1"/>
  <c r="M133" i="1" s="1"/>
  <c r="G134" i="1"/>
  <c r="G136" i="1"/>
  <c r="G137" i="1"/>
  <c r="L137" i="1" s="1"/>
  <c r="M137" i="1" s="1"/>
  <c r="G138" i="1"/>
  <c r="L138" i="1" s="1"/>
  <c r="M138" i="1" s="1"/>
  <c r="G139" i="1"/>
  <c r="G140" i="1"/>
  <c r="G142" i="1"/>
  <c r="G144" i="1"/>
  <c r="G145" i="1"/>
  <c r="L145" i="1" s="1"/>
  <c r="M145" i="1" s="1"/>
  <c r="G146" i="1"/>
  <c r="G147" i="1"/>
  <c r="G149" i="1"/>
  <c r="G150" i="1"/>
  <c r="G151" i="1"/>
  <c r="G152" i="1"/>
  <c r="G153" i="1"/>
  <c r="L153" i="1" s="1"/>
  <c r="M153" i="1" s="1"/>
  <c r="G154" i="1"/>
  <c r="G155" i="1"/>
  <c r="G156" i="1"/>
  <c r="G157" i="1"/>
  <c r="G158" i="1"/>
  <c r="L158" i="1" s="1"/>
  <c r="M158" i="1" s="1"/>
  <c r="G159" i="1"/>
  <c r="G160" i="1"/>
  <c r="L160" i="1" s="1"/>
  <c r="M160" i="1" s="1"/>
  <c r="G161" i="1"/>
  <c r="L161" i="1" s="1"/>
  <c r="M161" i="1" s="1"/>
  <c r="G162" i="1"/>
  <c r="G163" i="1"/>
  <c r="L163" i="1" s="1"/>
  <c r="M163" i="1" s="1"/>
  <c r="G164" i="1"/>
  <c r="G165" i="1"/>
  <c r="G167" i="1"/>
  <c r="L167" i="1" s="1"/>
  <c r="M167" i="1" s="1"/>
  <c r="G168" i="1"/>
  <c r="G169" i="1"/>
  <c r="L169" i="1" s="1"/>
  <c r="M169" i="1" s="1"/>
  <c r="G171" i="1"/>
  <c r="G172" i="1"/>
  <c r="G173" i="1"/>
  <c r="G174" i="1"/>
  <c r="G175" i="1"/>
  <c r="G176" i="1"/>
  <c r="L176" i="1" s="1"/>
  <c r="M176" i="1" s="1"/>
  <c r="G177" i="1"/>
  <c r="L177" i="1" s="1"/>
  <c r="M177" i="1" s="1"/>
  <c r="G178" i="1"/>
  <c r="G179" i="1"/>
  <c r="L179" i="1" s="1"/>
  <c r="M179" i="1" s="1"/>
  <c r="G180" i="1"/>
  <c r="G181" i="1"/>
  <c r="L181" i="1" s="1"/>
  <c r="M181" i="1" s="1"/>
  <c r="G185" i="1"/>
  <c r="L185" i="1" s="1"/>
  <c r="M185" i="1" s="1"/>
  <c r="G186" i="1"/>
  <c r="L186" i="1" s="1"/>
  <c r="M186" i="1" s="1"/>
  <c r="G187" i="1"/>
  <c r="G188" i="1"/>
  <c r="L188" i="1" s="1"/>
  <c r="M188" i="1" s="1"/>
  <c r="G189" i="1"/>
  <c r="G190" i="1"/>
  <c r="G191" i="1"/>
  <c r="G192" i="1"/>
  <c r="L192" i="1" s="1"/>
  <c r="M192" i="1" s="1"/>
  <c r="G193" i="1"/>
  <c r="G194" i="1"/>
  <c r="G195" i="1"/>
  <c r="G196" i="1"/>
  <c r="G197" i="1"/>
  <c r="G198" i="1"/>
  <c r="G199" i="1"/>
  <c r="G200" i="1"/>
  <c r="L200" i="1" s="1"/>
  <c r="M200" i="1" s="1"/>
  <c r="G201" i="1"/>
  <c r="G202" i="1"/>
  <c r="G203" i="1"/>
  <c r="G204" i="1"/>
  <c r="G206" i="1"/>
  <c r="G207" i="1"/>
  <c r="G208" i="1"/>
  <c r="G209" i="1"/>
  <c r="L209" i="1" s="1"/>
  <c r="M209" i="1" s="1"/>
  <c r="G210" i="1"/>
  <c r="L210" i="1" s="1"/>
  <c r="M210" i="1" s="1"/>
  <c r="G211" i="1"/>
  <c r="G212" i="1"/>
  <c r="L212" i="1" s="1"/>
  <c r="M212" i="1" s="1"/>
  <c r="G213" i="1"/>
  <c r="G216" i="1"/>
  <c r="G217" i="1"/>
  <c r="G218" i="1"/>
  <c r="G219" i="1"/>
  <c r="L219" i="1" s="1"/>
  <c r="M219" i="1" s="1"/>
  <c r="G220" i="1"/>
  <c r="L220" i="1" s="1"/>
  <c r="M220" i="1" s="1"/>
  <c r="G221" i="1"/>
  <c r="L221" i="1" s="1"/>
  <c r="M221" i="1" s="1"/>
  <c r="G223" i="1"/>
  <c r="G224" i="1"/>
  <c r="G225" i="1"/>
  <c r="G226" i="1"/>
  <c r="G227" i="1"/>
  <c r="G228" i="1"/>
  <c r="L228" i="1" s="1"/>
  <c r="M228" i="1" s="1"/>
  <c r="G229" i="1"/>
  <c r="L229" i="1" s="1"/>
  <c r="M229" i="1" s="1"/>
  <c r="G230" i="1"/>
  <c r="G231" i="1"/>
  <c r="G232" i="1"/>
  <c r="G233" i="1"/>
  <c r="L233" i="1" s="1"/>
  <c r="M233" i="1" s="1"/>
  <c r="G234" i="1"/>
  <c r="G235" i="1"/>
  <c r="G4" i="1"/>
  <c r="L4" i="1" s="1"/>
  <c r="M4" i="1" s="1"/>
  <c r="D19" i="2" l="1"/>
  <c r="F18" i="2"/>
  <c r="D18" i="2"/>
  <c r="D21" i="2"/>
  <c r="D17" i="2"/>
  <c r="D20" i="2"/>
  <c r="F20" i="2"/>
  <c r="C12" i="4"/>
  <c r="B12" i="4"/>
  <c r="C5" i="3" l="1"/>
  <c r="C3" i="3"/>
  <c r="C4" i="3"/>
  <c r="A26" i="2"/>
  <c r="D16" i="2" l="1"/>
  <c r="B238" i="1"/>
  <c r="B28" i="2"/>
  <c r="F236" i="1"/>
  <c r="D236" i="1"/>
  <c r="C26" i="2" l="1"/>
  <c r="C27" i="2" s="1"/>
  <c r="C13" i="4"/>
  <c r="D4" i="2"/>
  <c r="E4" i="2" s="1"/>
  <c r="B13" i="4"/>
  <c r="C28" i="2"/>
  <c r="G236" i="1"/>
  <c r="B6" i="2" l="1"/>
  <c r="D8" i="2"/>
  <c r="E8" i="2" s="1"/>
  <c r="D9" i="2"/>
  <c r="B8" i="2"/>
  <c r="E9" i="2"/>
  <c r="B7" i="2"/>
  <c r="E28" i="2"/>
  <c r="F28" i="2" s="1"/>
  <c r="C32" i="2"/>
  <c r="L236" i="1"/>
  <c r="C7" i="4" l="1"/>
  <c r="C5" i="4"/>
  <c r="B5" i="4"/>
  <c r="E5" i="4"/>
  <c r="C8" i="4"/>
  <c r="E7" i="4"/>
  <c r="B4" i="4"/>
  <c r="B8" i="4"/>
  <c r="B6" i="4"/>
  <c r="B7" i="4"/>
  <c r="C6" i="4"/>
  <c r="C4" i="4"/>
  <c r="C21" i="2"/>
  <c r="C17" i="2"/>
  <c r="B11" i="2"/>
  <c r="E32" i="2"/>
  <c r="F32" i="2" s="1"/>
  <c r="C18" i="2"/>
  <c r="C20" i="2"/>
  <c r="C19" i="2"/>
  <c r="C9" i="4" l="1"/>
  <c r="D6" i="4" s="1"/>
  <c r="B9" i="4"/>
  <c r="D12" i="4" s="1"/>
  <c r="B13" i="2"/>
  <c r="D13" i="2"/>
  <c r="E13" i="2" s="1"/>
  <c r="B12" i="2"/>
  <c r="C22" i="2"/>
  <c r="B23" i="2" s="1"/>
  <c r="D22" i="2"/>
  <c r="D23" i="2" s="1"/>
  <c r="E19" i="2" l="1"/>
  <c r="D13" i="4"/>
  <c r="D8" i="4"/>
  <c r="D4" i="4"/>
  <c r="D5" i="4"/>
  <c r="D7" i="4"/>
  <c r="E18" i="2"/>
  <c r="E20" i="2"/>
  <c r="E21" i="2"/>
  <c r="E17" i="2"/>
  <c r="D9" i="4" l="1"/>
  <c r="E22" i="2"/>
</calcChain>
</file>

<file path=xl/sharedStrings.xml><?xml version="1.0" encoding="utf-8"?>
<sst xmlns="http://schemas.openxmlformats.org/spreadsheetml/2006/main" count="1228" uniqueCount="697">
  <si>
    <t>Last</t>
  </si>
  <si>
    <t>First</t>
  </si>
  <si>
    <t>Giving Units</t>
  </si>
  <si>
    <t>2021 Giving</t>
  </si>
  <si>
    <t>Pledge</t>
  </si>
  <si>
    <t>$</t>
  </si>
  <si>
    <t>Alton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</si>
  <si>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</si>
  <si>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</si>
  <si>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</si>
  <si>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</si>
  <si>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</si>
  <si>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</si>
  <si>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</si>
  <si>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</si>
  <si>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</si>
  <si>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</si>
  <si>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</si>
  <si>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</si>
  <si>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</si>
  <si>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</si>
  <si>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</si>
  <si>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</si>
  <si>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</si>
  <si>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</si>
  <si>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</si>
  <si>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</si>
  <si>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</si>
  <si>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</si>
  <si>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</si>
  <si>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</si>
  <si>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</si>
  <si>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</si>
  <si>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</si>
  <si>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</si>
  <si>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</si>
  <si>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</si>
  <si>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</si>
  <si>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</si>
  <si>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</si>
  <si>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</si>
  <si>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</si>
  <si>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</si>
  <si>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</si>
  <si>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</si>
  <si>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</si>
  <si>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</si>
  <si>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</si>
  <si>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</si>
  <si>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</si>
  <si>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</si>
  <si>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</si>
  <si>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</si>
  <si>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</si>
  <si>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</si>
  <si>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</si>
  <si>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</si>
  <si>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</si>
  <si>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</si>
  <si>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</si>
  <si>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</si>
  <si>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</si>
  <si>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</si>
  <si>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</si>
  <si>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</si>
  <si>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</si>
  <si>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</si>
  <si>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</si>
  <si>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</si>
  <si>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</si>
  <si>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</si>
  <si>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</si>
  <si>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</si>
  <si>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</si>
  <si>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</si>
  <si>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</si>
  <si>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</si>
  <si>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</si>
  <si>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</si>
  <si>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</si>
  <si>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</si>
  <si>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</si>
  <si>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</si>
  <si>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</si>
  <si>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</si>
  <si>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</si>
  <si>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</si>
  <si>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</si>
  <si>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</si>
  <si>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</si>
  <si>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</si>
  <si>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</si>
  <si>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</si>
  <si>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</si>
  <si>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</si>
  <si>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</si>
  <si>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</si>
  <si>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</si>
  <si>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</si>
  <si>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</si>
  <si>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</si>
  <si>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</si>
  <si>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</si>
  <si>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</si>
  <si>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</si>
  <si>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</si>
  <si>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</si>
  <si>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</si>
  <si>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</si>
  <si>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</si>
  <si>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</si>
  <si>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</si>
  <si>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</si>
  <si>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</si>
  <si>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</si>
  <si>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</si>
  <si>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</si>
  <si>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</si>
  <si>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</si>
  <si>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</si>
  <si>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</si>
  <si>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</si>
  <si>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</si>
  <si>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</si>
  <si>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</si>
  <si>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</si>
  <si>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</si>
  <si>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</si>
  <si>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</si>
  <si>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</si>
  <si>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</si>
  <si>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</si>
  <si>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</si>
  <si>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</si>
  <si>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</si>
  <si>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</si>
  <si>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</si>
  <si>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</si>
  <si>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</si>
  <si>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</si>
  <si>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</si>
  <si>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</si>
  <si>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</si>
  <si>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</si>
  <si>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</si>
  <si>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</si>
  <si>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</si>
  <si>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</si>
  <si>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</si>
  <si>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</si>
  <si>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</si>
  <si>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</si>
  <si>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</si>
  <si>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</si>
  <si>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</si>
  <si>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</si>
  <si>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</si>
  <si>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</si>
  <si>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</si>
  <si>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</si>
  <si>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</si>
  <si>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</si>
  <si>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</si>
  <si>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</si>
  <si>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</si>
  <si>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</si>
  <si>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</si>
  <si>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</si>
  <si>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</si>
  <si>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</si>
  <si>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</si>
  <si>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</si>
  <si>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</si>
  <si>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</si>
  <si>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</si>
  <si>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</si>
  <si>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</si>
  <si>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</si>
  <si>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</si>
  <si>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</si>
  <si>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</si>
  <si>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</si>
  <si>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</si>
  <si>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</si>
  <si>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</si>
  <si>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</si>
  <si>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</si>
  <si>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</si>
  <si>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</si>
  <si>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</si>
  <si>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</si>
  <si>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</si>
  <si>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</si>
  <si>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</si>
  <si>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</si>
  <si>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</si>
  <si>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</si>
  <si>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</si>
  <si>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</si>
  <si>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</si>
  <si>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</si>
  <si>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</si>
  <si>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</si>
  <si>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</si>
  <si>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</si>
  <si>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</si>
  <si>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</si>
  <si>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</si>
  <si>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</si>
  <si>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</si>
  <si>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</si>
  <si>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</si>
  <si>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</si>
  <si>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</si>
  <si>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</si>
  <si>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</si>
  <si>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</si>
  <si>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</si>
  <si>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</si>
  <si>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</si>
  <si>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</si>
  <si>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</si>
  <si>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</si>
  <si>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</si>
  <si>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</si>
  <si>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</si>
  <si>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</si>
  <si>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</si>
  <si>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</si>
  <si>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</si>
  <si>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</si>
  <si>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</si>
  <si>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</si>
  <si>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</si>
  <si>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</si>
  <si>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</si>
  <si>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</si>
  <si>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</si>
  <si>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</si>
  <si>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</si>
  <si>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</si>
  <si>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</si>
  <si>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</si>
  <si>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</si>
  <si>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</si>
  <si>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</si>
  <si>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</si>
  <si>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</si>
  <si>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</si>
  <si>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</si>
  <si>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</si>
  <si>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</si>
  <si>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</si>
  <si>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</si>
  <si>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</si>
  <si>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</si>
  <si>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</si>
  <si>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</si>
  <si>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</si>
  <si>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</si>
  <si>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</si>
  <si>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</si>
  <si>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</si>
  <si>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</si>
  <si>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</si>
  <si>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</si>
  <si>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</si>
  <si>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</si>
  <si>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</si>
  <si>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</si>
  <si>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</si>
  <si>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</si>
  <si>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</si>
  <si>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</si>
  <si>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</si>
  <si>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</si>
  <si>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</si>
  <si>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</si>
  <si>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</si>
  <si>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</si>
  <si>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</si>
  <si>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</si>
  <si>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</si>
  <si>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</si>
  <si>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</si>
  <si>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</si>
  <si>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</si>
  <si>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</si>
  <si>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</si>
  <si>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</si>
  <si>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</si>
  <si>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</si>
  <si>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</si>
  <si>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</si>
  <si>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</si>
  <si>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</si>
  <si>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</si>
  <si>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</si>
  <si>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</si>
  <si>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</si>
  <si>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</si>
  <si>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</si>
  <si>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</si>
  <si>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</si>
  <si>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</si>
  <si>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</si>
  <si>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</si>
  <si>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</si>
  <si>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</si>
  <si>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</si>
  <si>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</si>
  <si>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</si>
  <si>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</si>
  <si>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</si>
  <si>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</si>
  <si>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</si>
  <si>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</si>
  <si>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</si>
  <si>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</si>
  <si>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</si>
  <si>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</si>
  <si>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</si>
  <si>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</si>
  <si>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</si>
  <si>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</si>
  <si>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</si>
  <si>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</si>
  <si>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</si>
  <si>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</si>
  <si>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</si>
  <si>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</si>
  <si>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</si>
  <si>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</si>
  <si>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</si>
  <si>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</si>
  <si>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</si>
  <si>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</si>
  <si>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</si>
  <si>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</si>
  <si>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</si>
  <si>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</si>
  <si>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</si>
  <si>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</si>
  <si>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</si>
  <si>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</si>
  <si>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</si>
  <si>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</si>
  <si>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</si>
  <si>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</si>
  <si>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</si>
  <si>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</si>
  <si>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</si>
  <si>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</si>
  <si>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</si>
  <si>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</si>
  <si>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</si>
  <si>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</si>
  <si>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</si>
  <si>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</si>
  <si>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</si>
  <si>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</si>
  <si>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</si>
  <si>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</si>
  <si>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</si>
  <si>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</si>
  <si>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</si>
  <si>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</si>
  <si>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</si>
  <si>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</si>
  <si>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</si>
  <si>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</si>
  <si>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</si>
  <si>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</si>
  <si>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</si>
  <si>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</si>
  <si>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</si>
  <si>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</si>
  <si>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</si>
  <si>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</si>
  <si>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</si>
  <si>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</si>
  <si>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</si>
  <si>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</si>
  <si>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</si>
  <si>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</si>
  <si>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</si>
  <si>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</si>
  <si>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</si>
  <si>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</si>
  <si>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</si>
  <si>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</si>
  <si>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</si>
  <si>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</si>
  <si>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</si>
  <si>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</si>
  <si>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</si>
  <si>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</si>
  <si>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</si>
  <si>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</si>
  <si>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</si>
  <si>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</si>
  <si>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</si>
  <si>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</si>
  <si>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</si>
  <si>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</si>
  <si>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</si>
  <si>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</si>
  <si>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</si>
  <si>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</si>
  <si>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</si>
  <si>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</si>
  <si>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</si>
  <si>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</si>
  <si>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</si>
  <si>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</si>
  <si>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</si>
  <si>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</si>
  <si>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</si>
  <si>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</si>
  <si>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</si>
  <si>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</si>
  <si>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</si>
  <si>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</si>
  <si>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</si>
  <si>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</si>
  <si>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</si>
  <si>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</si>
  <si>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</si>
  <si>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</si>
  <si>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</si>
  <si>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</si>
  <si>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</si>
  <si>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</si>
  <si>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</si>
  <si>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</si>
  <si>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</si>
  <si>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</si>
  <si>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</si>
  <si>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</si>
  <si>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</si>
  <si>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</si>
  <si>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</si>
  <si>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</si>
  <si>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</si>
  <si>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</si>
  <si>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</si>
  <si>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</si>
  <si>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</si>
  <si>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</si>
  <si>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</si>
  <si>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</si>
  <si>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</si>
  <si>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</si>
  <si>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</si>
  <si>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</si>
  <si>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</si>
  <si>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</si>
  <si>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</si>
  <si>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</si>
  <si>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</si>
  <si>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</si>
  <si>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</si>
  <si>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</si>
  <si>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</si>
  <si>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</si>
  <si>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</si>
  <si>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</si>
  <si>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</si>
  <si>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</si>
  <si>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</si>
  <si>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</si>
  <si>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</si>
  <si>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</si>
  <si>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</si>
  <si>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</si>
  <si>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</si>
  <si>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</si>
  <si>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</si>
  <si>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</si>
  <si>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</si>
  <si>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</si>
  <si>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</si>
  <si>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</si>
  <si>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</si>
  <si>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</si>
  <si>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</si>
  <si>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</si>
  <si>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</si>
  <si>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</si>
  <si>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</si>
  <si>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</si>
  <si>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</si>
  <si>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</si>
  <si>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</si>
  <si>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</si>
  <si>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</si>
  <si>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</si>
  <si>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</si>
  <si>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</si>
  <si>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</si>
  <si>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</si>
  <si>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</si>
  <si>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</si>
  <si>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</si>
  <si>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</si>
  <si>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</si>
  <si>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</si>
  <si>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</si>
  <si>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</si>
  <si>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</si>
  <si>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</si>
  <si>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</si>
  <si>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</si>
  <si>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</si>
  <si>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</si>
  <si>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</si>
  <si>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</si>
  <si>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</si>
  <si>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</si>
  <si>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</si>
  <si>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</si>
  <si>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</si>
  <si>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</si>
  <si>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</si>
  <si>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</si>
  <si>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</si>
  <si>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</si>
  <si>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</si>
  <si>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</si>
  <si>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</si>
  <si>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</si>
  <si>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</si>
  <si>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</si>
  <si>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</si>
  <si>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</si>
  <si>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</si>
  <si>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</si>
  <si>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</si>
  <si>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</si>
  <si>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</si>
  <si>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</si>
  <si>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</si>
  <si>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</si>
  <si>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</si>
  <si>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</si>
  <si>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</si>
  <si>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</si>
  <si>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</si>
  <si>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</si>
  <si>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</si>
  <si>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</si>
  <si>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</si>
  <si>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</si>
  <si>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</si>
  <si>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</si>
  <si>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</si>
  <si>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</si>
  <si>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</si>
  <si>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</si>
  <si>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</si>
  <si>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</si>
  <si>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</si>
  <si>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</si>
  <si>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</si>
  <si>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</si>
  <si>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</si>
  <si>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</si>
  <si>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</si>
  <si>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</si>
  <si>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</si>
  <si>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</si>
  <si>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</si>
  <si>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</si>
  <si>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</si>
  <si>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</si>
  <si>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</si>
  <si>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</si>
  <si>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</si>
  <si>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</si>
  <si>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</si>
  <si>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</si>
  <si>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</si>
  <si>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</si>
  <si>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</si>
  <si>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</si>
  <si>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</si>
  <si>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</si>
  <si>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</si>
  <si>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</si>
  <si>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</si>
  <si>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</si>
  <si>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</si>
  <si>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</si>
  <si>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</si>
  <si>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</si>
  <si>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</si>
  <si>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</si>
  <si>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</si>
  <si>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</si>
  <si>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</si>
  <si>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</si>
  <si>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</si>
  <si>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</si>
  <si>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</si>
  <si>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</si>
  <si>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</si>
  <si>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</si>
  <si>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</si>
  <si>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</si>
  <si>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</si>
  <si>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</si>
  <si>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</si>
  <si>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</si>
  <si>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</si>
  <si>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</si>
  <si>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</si>
  <si>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</si>
  <si>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</si>
  <si>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</si>
  <si>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</si>
  <si>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</si>
  <si>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</si>
  <si>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</si>
  <si>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</si>
  <si>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</si>
  <si>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</si>
  <si>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</si>
  <si>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</si>
  <si>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</si>
  <si>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</si>
  <si>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</si>
  <si>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</si>
  <si>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</si>
  <si>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</si>
  <si>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</si>
  <si>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</si>
  <si>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this will be different then o - k as the weeks are converted for years with 53 weeks</t>
  </si>
  <si>
    <t>Sort</t>
  </si>
  <si>
    <t>N</t>
  </si>
  <si>
    <t>$175/week with $150 to operting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</si>
  <si>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</si>
  <si>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</si>
  <si>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</si>
  <si>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</si>
  <si>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</si>
  <si>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</si>
  <si>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</si>
  <si>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</si>
  <si>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</si>
  <si>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</si>
  <si>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</si>
  <si>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</si>
  <si>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</si>
  <si>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</si>
  <si>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No Longer attends</t>
  </si>
  <si>
    <t>Verbally</t>
  </si>
  <si>
    <t>Transferred to another church</t>
  </si>
  <si>
    <t>Total 2023 Estimate with budget pacing</t>
  </si>
  <si>
    <t xml:space="preserve">Envelop giving </t>
  </si>
  <si>
    <t>Honsberger</t>
  </si>
  <si>
    <t>Neil &amp; Linda</t>
  </si>
  <si>
    <t>1775 Newman Rd Apt #228</t>
  </si>
  <si>
    <t>1775 Newman Road #135</t>
  </si>
  <si>
    <t>Will give $300 quarterly</t>
  </si>
  <si>
    <t>pamalatague65@gmail.com</t>
  </si>
  <si>
    <t>6830 Cliffside Drive</t>
  </si>
  <si>
    <t>Thomson (Gavigan)</t>
  </si>
  <si>
    <t>Del</t>
  </si>
  <si>
    <t>Doug &amp; Sue</t>
  </si>
  <si>
    <t>Pledge Comparison</t>
  </si>
  <si>
    <t>Henrichs</t>
  </si>
  <si>
    <t>Ashleigh</t>
  </si>
  <si>
    <t>Kempen</t>
  </si>
  <si>
    <t>Peter &amp; Brenda</t>
  </si>
  <si>
    <t>Klaus</t>
  </si>
  <si>
    <t>William &amp; Jennifer</t>
  </si>
  <si>
    <t>Koerber</t>
  </si>
  <si>
    <t>Lasch</t>
  </si>
  <si>
    <t>Robert</t>
  </si>
  <si>
    <t>Ludwin</t>
  </si>
  <si>
    <t>Jim &amp; Cory</t>
  </si>
  <si>
    <t>Minor</t>
  </si>
  <si>
    <t>Jeff &amp; Cherie</t>
  </si>
  <si>
    <t>Donald &amp; Shirley</t>
  </si>
  <si>
    <t>Dwayne</t>
  </si>
  <si>
    <t>Phillips</t>
  </si>
  <si>
    <t>Holly</t>
  </si>
  <si>
    <t>Pratt</t>
  </si>
  <si>
    <t>Caroline</t>
  </si>
  <si>
    <t>Tammy</t>
  </si>
  <si>
    <t>Steberl</t>
  </si>
  <si>
    <t>J.R. &amp; Jenny</t>
  </si>
  <si>
    <t>Tetrault</t>
  </si>
  <si>
    <t>Pledged same as in 2024</t>
  </si>
  <si>
    <t>Did not pledge in 2024 but pledged in 2025</t>
  </si>
  <si>
    <t>Pledged or gave in 2024 but no pledged 2025</t>
  </si>
  <si>
    <t>2024 Estimate (Envelop giving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</si>
</sst>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5" fillId="0" borderId="4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4" fillId="0" borderId="0" xfId="1" applyNumberFormat="1" applyFont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3" xfId="1" applyNumberFormat="1" applyFont="1" applyFill="1" applyBorder="1"/>
    <xf numFmtId="164" fontId="2" fillId="0" borderId="13" xfId="2" applyNumberFormat="1" applyFont="1" applyFill="1" applyBorder="1"/>
    <xf numFmtId="165" fontId="2" fillId="0" borderId="13" xfId="1" applyNumberFormat="1" applyFont="1" applyFill="1" applyBorder="1"/>
    <xf numFmtId="0" fontId="2" fillId="0" borderId="14" xfId="0" applyFont="1" applyFill="1" applyBorder="1"/>
    <xf numFmtId="0" fontId="0" fillId="0" borderId="12" xfId="0" applyBorder="1"/>
    <xf numFmtId="165" fontId="0" fillId="0" borderId="13" xfId="1" applyNumberFormat="1" applyFont="1" applyBorder="1"/>
    <xf numFmtId="3" fontId="0" fillId="0" borderId="13" xfId="0" applyNumberFormat="1" applyBorder="1"/>
    <xf numFmtId="164" fontId="0" fillId="0" borderId="14" xfId="2" applyNumberFormat="1" applyFont="1" applyBorder="1"/>
    <xf numFmtId="0" fontId="4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5" xfId="4" applyNumberFormat="1" applyFont="1" applyFill="1" applyBorder="1"/>
    <xf numFmtId="0" fontId="0" fillId="0" borderId="0" xfId="0" applyAlignment="1">
      <alignment horizontal="right"/>
    </xf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11" fillId="0" borderId="0" xfId="3" applyNumberFormat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5" fillId="0" borderId="1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top" wrapText="1"/>
    </xf>
    <xf numFmtId="3" fontId="0" fillId="0" borderId="3" xfId="0" applyNumberFormat="1" applyFill="1" applyBorder="1" applyAlignment="1">
      <alignment horizontal="center" vertical="top" wrapText="1"/>
    </xf>
    <xf numFmtId="3" fontId="13" fillId="0" borderId="0" xfId="0" applyNumberFormat="1" applyFont="1" applyBorder="1"/>
    <xf numFmtId="3" fontId="0" fillId="0" borderId="0" xfId="0" applyNumberFormat="1" applyFill="1" applyAlignment="1">
      <alignment horizontal="center"/>
    </xf>
    <xf numFmtId="165" fontId="0" fillId="0" borderId="0" xfId="0" applyNumberFormat="1"/>
    <xf numFmtId="3" fontId="4" fillId="5" borderId="4" xfId="0" applyNumberFormat="1" applyFont="1" applyFill="1" applyBorder="1"/>
    <xf numFmtId="3" fontId="4" fillId="5" borderId="0" xfId="0" applyNumberFormat="1" applyFont="1" applyFill="1" applyBorder="1" applyAlignment="1">
      <alignment horizontal="center"/>
    </xf>
    <xf numFmtId="3" fontId="4" fillId="5" borderId="0" xfId="0" applyNumberFormat="1" applyFont="1" applyFill="1" applyBorder="1"/>
    <xf numFmtId="3" fontId="5" fillId="5" borderId="5" xfId="0" applyNumberFormat="1" applyFont="1" applyFill="1" applyBorder="1"/>
    <xf numFmtId="0" fontId="0" fillId="0" borderId="0" xfId="0" applyBorder="1" applyAlignment="1">
      <alignment horizontal="left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left"/>
    </xf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165" fontId="2" fillId="2" borderId="22" xfId="0" applyNumberFormat="1" applyFont="1" applyFill="1" applyBorder="1" applyAlignment="1">
      <alignment horizontal="center"/>
    </xf>
    <xf numFmtId="9" fontId="0" fillId="2" borderId="22" xfId="0" applyNumberFormat="1" applyFill="1" applyBorder="1" applyAlignment="1">
      <alignment horizontal="center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88900</xdr:rowOff>
    </xdr:from>
    <xdr:to>
      <xdr:col>9</xdr:col>
      <xdr:colOff>996950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0" y="1619250"/>
          <a:ext cx="78359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sandra.georgeson@yahoo.com" TargetMode="External"/><Relationship Id="rId26" Type="http://schemas.openxmlformats.org/officeDocument/2006/relationships/hyperlink" Target="mailto:leazer@wi.rr.com" TargetMode="External"/><Relationship Id="rId39" Type="http://schemas.openxmlformats.org/officeDocument/2006/relationships/hyperlink" Target="mailto:mark.nancy1993@gmail.com" TargetMode="External"/><Relationship Id="rId21" Type="http://schemas.openxmlformats.org/officeDocument/2006/relationships/hyperlink" Target="mailto:jchewitt1943@gmail.com" TargetMode="External"/><Relationship Id="rId34" Type="http://schemas.openxmlformats.org/officeDocument/2006/relationships/hyperlink" Target="mailto:wmortensen@wi.rr.com" TargetMode="External"/><Relationship Id="rId42" Type="http://schemas.openxmlformats.org/officeDocument/2006/relationships/hyperlink" Target="mailto:bblickle@wi.rr.com" TargetMode="External"/><Relationship Id="rId47" Type="http://schemas.openxmlformats.org/officeDocument/2006/relationships/hyperlink" Target="mailto:klfritz1@gmail.com" TargetMode="External"/><Relationship Id="rId50" Type="http://schemas.openxmlformats.org/officeDocument/2006/relationships/hyperlink" Target="mailto:crlpeppershaker@hol.com" TargetMode="External"/><Relationship Id="rId55" Type="http://schemas.openxmlformats.org/officeDocument/2006/relationships/hyperlink" Target="mailto:lindalewis099@gmail.com" TargetMode="External"/><Relationship Id="rId63" Type="http://schemas.openxmlformats.org/officeDocument/2006/relationships/hyperlink" Target="mailto:staceyr@wi.rr.com" TargetMode="External"/><Relationship Id="rId68" Type="http://schemas.openxmlformats.org/officeDocument/2006/relationships/hyperlink" Target="mailto:gltingb@gmail.com" TargetMode="External"/><Relationship Id="rId76" Type="http://schemas.openxmlformats.org/officeDocument/2006/relationships/hyperlink" Target="mailto:cjgavigan177@gmail.com" TargetMode="Externa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heatherkeszler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matthew3239@sbcglobal.net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dmj7140@gmail.com" TargetMode="External"/><Relationship Id="rId32" Type="http://schemas.openxmlformats.org/officeDocument/2006/relationships/hyperlink" Target="mailto:juliesptflowers@att.net" TargetMode="External"/><Relationship Id="rId37" Type="http://schemas.openxmlformats.org/officeDocument/2006/relationships/hyperlink" Target="mailto:tksheri1972@sbcglobal.net" TargetMode="External"/><Relationship Id="rId40" Type="http://schemas.openxmlformats.org/officeDocument/2006/relationships/hyperlink" Target="mailto:ladw@sbcglobal.net" TargetMode="External"/><Relationship Id="rId45" Type="http://schemas.openxmlformats.org/officeDocument/2006/relationships/hyperlink" Target="mailto:kitandmaryjane@yahoo.com" TargetMode="External"/><Relationship Id="rId53" Type="http://schemas.openxmlformats.org/officeDocument/2006/relationships/hyperlink" Target="mailto:nhkroll@sbcglobal.net" TargetMode="External"/><Relationship Id="rId58" Type="http://schemas.openxmlformats.org/officeDocument/2006/relationships/hyperlink" Target="mailto:sdn313@hotmail.com" TargetMode="External"/><Relationship Id="rId66" Type="http://schemas.openxmlformats.org/officeDocument/2006/relationships/hyperlink" Target="mailto:tytrabert@att.net" TargetMode="External"/><Relationship Id="rId74" Type="http://schemas.openxmlformats.org/officeDocument/2006/relationships/hyperlink" Target="mailto:grmagne9@ww.rr.com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61" Type="http://schemas.openxmlformats.org/officeDocument/2006/relationships/hyperlink" Target="mailto:extrovert.grampa@g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jhgilby_72@yahoo.com" TargetMode="External"/><Relationship Id="rId31" Type="http://schemas.openxmlformats.org/officeDocument/2006/relationships/hyperlink" Target="mailto:jbknclm@att.net" TargetMode="External"/><Relationship Id="rId44" Type="http://schemas.openxmlformats.org/officeDocument/2006/relationships/hyperlink" Target="mailto:Kimsc31@aol.com" TargetMode="External"/><Relationship Id="rId52" Type="http://schemas.openxmlformats.org/officeDocument/2006/relationships/hyperlink" Target="mailto:jkoechell@att.net" TargetMode="External"/><Relationship Id="rId60" Type="http://schemas.openxmlformats.org/officeDocument/2006/relationships/hyperlink" Target="mailto:dw.nielsen@yahoo.com" TargetMode="External"/><Relationship Id="rId65" Type="http://schemas.openxmlformats.org/officeDocument/2006/relationships/hyperlink" Target="mailto:tunie8420@aol.com" TargetMode="External"/><Relationship Id="rId73" Type="http://schemas.openxmlformats.org/officeDocument/2006/relationships/hyperlink" Target="mailto:jweiss10@wi.rr.com" TargetMode="External"/><Relationship Id="rId78" Type="http://schemas.openxmlformats.org/officeDocument/2006/relationships/hyperlink" Target="mailto:rmmiller10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ghholm2@aol.com" TargetMode="External"/><Relationship Id="rId27" Type="http://schemas.openxmlformats.org/officeDocument/2006/relationships/hyperlink" Target="mailto:esmalik@msn.com" TargetMode="External"/><Relationship Id="rId30" Type="http://schemas.openxmlformats.org/officeDocument/2006/relationships/hyperlink" Target="mailto:mckennacolin59@gmail.com" TargetMode="External"/><Relationship Id="rId35" Type="http://schemas.openxmlformats.org/officeDocument/2006/relationships/hyperlink" Target="mailto:rpetrach@gmail.com" TargetMode="External"/><Relationship Id="rId43" Type="http://schemas.openxmlformats.org/officeDocument/2006/relationships/hyperlink" Target="mailto:linstolen@gmail.com" TargetMode="External"/><Relationship Id="rId48" Type="http://schemas.openxmlformats.org/officeDocument/2006/relationships/hyperlink" Target="mailto:lingissl@gmail.com" TargetMode="External"/><Relationship Id="rId56" Type="http://schemas.openxmlformats.org/officeDocument/2006/relationships/hyperlink" Target="mailto:mohalleyfam@sbcglobal.net" TargetMode="External"/><Relationship Id="rId64" Type="http://schemas.openxmlformats.org/officeDocument/2006/relationships/hyperlink" Target="mailto:sjscore44@gmail.com" TargetMode="External"/><Relationship Id="rId69" Type="http://schemas.openxmlformats.org/officeDocument/2006/relationships/hyperlink" Target="mailto:conniegardner1@hotmail.com" TargetMode="External"/><Relationship Id="rId77" Type="http://schemas.openxmlformats.org/officeDocument/2006/relationships/hyperlink" Target="mailto:rholz1@wi.rr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pursonalityjen@gmail.com" TargetMode="External"/><Relationship Id="rId72" Type="http://schemas.openxmlformats.org/officeDocument/2006/relationships/hyperlink" Target="mailto:remaxdan@wi.rr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jkiemen1942@gmail.com" TargetMode="External"/><Relationship Id="rId33" Type="http://schemas.openxmlformats.org/officeDocument/2006/relationships/hyperlink" Target="mailto:mitzymm@yahoo.com" TargetMode="External"/><Relationship Id="rId38" Type="http://schemas.openxmlformats.org/officeDocument/2006/relationships/hyperlink" Target="mailto:fmstrudrawa@aol.com" TargetMode="External"/><Relationship Id="rId46" Type="http://schemas.openxmlformats.org/officeDocument/2006/relationships/hyperlink" Target="mailto:fcurran@wi.rr.com" TargetMode="External"/><Relationship Id="rId59" Type="http://schemas.openxmlformats.org/officeDocument/2006/relationships/hyperlink" Target="mailto:mnelson224@wi.rr.com" TargetMode="External"/><Relationship Id="rId67" Type="http://schemas.openxmlformats.org/officeDocument/2006/relationships/hyperlink" Target="mailto:cbvacek@hotmail.com" TargetMode="External"/><Relationship Id="rId20" Type="http://schemas.openxmlformats.org/officeDocument/2006/relationships/hyperlink" Target="mailto:thauch@wi.rr.com" TargetMode="External"/><Relationship Id="rId41" Type="http://schemas.openxmlformats.org/officeDocument/2006/relationships/hyperlink" Target="mailto:jeffwunderle@yahoo.com" TargetMode="External"/><Relationship Id="rId54" Type="http://schemas.openxmlformats.org/officeDocument/2006/relationships/hyperlink" Target="mailto:bettylewis4120@gmail.com" TargetMode="External"/><Relationship Id="rId62" Type="http://schemas.openxmlformats.org/officeDocument/2006/relationships/hyperlink" Target="mailto:hotgram57@hotmail.com" TargetMode="External"/><Relationship Id="rId70" Type="http://schemas.openxmlformats.org/officeDocument/2006/relationships/hyperlink" Target="mailto:baylortrenton@gmail.com" TargetMode="External"/><Relationship Id="rId75" Type="http://schemas.openxmlformats.org/officeDocument/2006/relationships/hyperlink" Target="mailto:pamalatague65@gmail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dubar@att.net" TargetMode="External"/><Relationship Id="rId28" Type="http://schemas.openxmlformats.org/officeDocument/2006/relationships/hyperlink" Target="mailto:mary.ann.mantey@gmail.com" TargetMode="External"/><Relationship Id="rId36" Type="http://schemas.openxmlformats.org/officeDocument/2006/relationships/hyperlink" Target="mailto:tjsaavedra@hotmail.com" TargetMode="External"/><Relationship Id="rId49" Type="http://schemas.openxmlformats.org/officeDocument/2006/relationships/hyperlink" Target="mailto:lynette.jacobson54@gmail.com" TargetMode="External"/><Relationship Id="rId57" Type="http://schemas.openxmlformats.org/officeDocument/2006/relationships/hyperlink" Target="mailto:vda0369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F16" sqref="F16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52" t="s">
        <v>516</v>
      </c>
      <c r="B2" s="153"/>
      <c r="C2" s="153"/>
      <c r="D2" s="153"/>
      <c r="E2" s="153"/>
      <c r="F2" s="153"/>
      <c r="G2" s="153"/>
      <c r="H2" s="154"/>
    </row>
    <row r="3" spans="1:8" x14ac:dyDescent="0.35">
      <c r="A3" s="2"/>
      <c r="B3" s="12" t="s">
        <v>518</v>
      </c>
      <c r="C3" s="12" t="s">
        <v>5</v>
      </c>
      <c r="D3" s="37" t="s">
        <v>513</v>
      </c>
      <c r="E3" s="3"/>
      <c r="F3" s="3"/>
      <c r="G3" s="3"/>
      <c r="H3" s="6"/>
    </row>
    <row r="4" spans="1:8" x14ac:dyDescent="0.35">
      <c r="A4" s="2" t="s">
        <v>57</v>
      </c>
      <c r="B4" s="18">
        <f>COUNTIF(Data!M$4:M235,"S")</f>
        <v>44</v>
      </c>
      <c r="C4" s="57">
        <f>SUMIF(Data!M$4:M235,"S",Data!G$4:G235)</f>
        <v>103328</v>
      </c>
      <c r="D4" s="101">
        <f>+C4/C$9</f>
        <v>0.32031744063488127</v>
      </c>
      <c r="E4" s="3" t="s">
        <v>55</v>
      </c>
      <c r="F4" s="3"/>
      <c r="G4" s="3"/>
      <c r="H4" s="6"/>
    </row>
    <row r="5" spans="1:8" x14ac:dyDescent="0.35">
      <c r="A5" s="2" t="s">
        <v>58</v>
      </c>
      <c r="B5" s="18">
        <f>COUNTIF(Data!M$4:M235,"I")</f>
        <v>38</v>
      </c>
      <c r="C5" s="57">
        <f>SUMIF(Data!M$4:M235,"I",Data!G$4:G235)</f>
        <v>184052</v>
      </c>
      <c r="D5" s="101">
        <f>+C5/C$9</f>
        <v>0.57056234112468229</v>
      </c>
      <c r="E5" s="3" t="str">
        <f>+"Increased pledge from 2022 (increase = $"&amp;ROUND(SUMIF(Data!M$4:M235,"I",Data!L$4:L235),0)&amp;")"</f>
        <v>Increased pledge from 2022 (increase = $44462)</v>
      </c>
      <c r="F5" s="3"/>
      <c r="G5" s="3"/>
      <c r="H5" s="6"/>
    </row>
    <row r="6" spans="1:8" x14ac:dyDescent="0.35">
      <c r="A6" s="2" t="s">
        <v>59</v>
      </c>
      <c r="B6" s="18">
        <f>COUNTIF(Data!M$4:M235,"N")</f>
        <v>30</v>
      </c>
      <c r="C6" s="57">
        <f>SUMIF(Data!M$4:M235,"N",Data!G$4:G235)</f>
        <v>0</v>
      </c>
      <c r="D6" s="101">
        <f>+C6/C$9</f>
        <v>0</v>
      </c>
      <c r="E6" s="3" t="s">
        <v>54</v>
      </c>
      <c r="F6" s="3"/>
      <c r="G6" s="3"/>
      <c r="H6" s="6"/>
    </row>
    <row r="7" spans="1:8" x14ac:dyDescent="0.35">
      <c r="A7" s="2" t="s">
        <v>60</v>
      </c>
      <c r="B7" s="18">
        <f>COUNTIF(Data!M$4:M235,"D")</f>
        <v>14</v>
      </c>
      <c r="C7" s="57">
        <f>SUMIF(Data!M$4:M235,"D",Data!G$4:G235)</f>
        <v>35200</v>
      </c>
      <c r="D7" s="101">
        <f>+C7/C$9</f>
        <v>0.10912021824043648</v>
      </c>
      <c r="E7" s="3" t="str">
        <f>+"Decreased pledge from 2022 (decrease = $"&amp;ABS(ROUND(SUMIF(Data!M$4:M235,"D",Data!L$4:L235),0))&amp;")"</f>
        <v>Decreased pledge from 2022 (decrease = $27800)</v>
      </c>
      <c r="F7" s="3"/>
      <c r="G7" s="3"/>
      <c r="H7" s="6"/>
    </row>
    <row r="8" spans="1:8" x14ac:dyDescent="0.35">
      <c r="A8" s="2" t="s">
        <v>509</v>
      </c>
      <c r="B8" s="56">
        <f>COUNTIF(Data!M$4:M235,"X")+COUNTIF(Data!M$4:M235,"E")</f>
        <v>0</v>
      </c>
      <c r="C8" s="57">
        <f>SUMIF(Data!M$4:M235,"X",Data!F$4:F235)+SUMIF(Data!M$4:M235,"E",Data!F$4:F235)</f>
        <v>0</v>
      </c>
      <c r="D8" s="101">
        <f>+C8/C$9</f>
        <v>0</v>
      </c>
      <c r="E8" s="3"/>
      <c r="F8" s="3"/>
      <c r="G8" s="3"/>
      <c r="H8" s="6"/>
    </row>
    <row r="9" spans="1:8" ht="15" thickBot="1" x14ac:dyDescent="0.4">
      <c r="A9" s="9" t="s">
        <v>56</v>
      </c>
      <c r="B9" s="58">
        <f>SUM(B4:B8)</f>
        <v>126</v>
      </c>
      <c r="C9" s="59">
        <f>SUM(C4:C8)</f>
        <v>322580</v>
      </c>
      <c r="D9" s="102">
        <f>SUM(D4:D8)</f>
        <v>1</v>
      </c>
      <c r="E9" s="28"/>
      <c r="F9" s="28"/>
      <c r="G9" s="28"/>
      <c r="H9" s="29"/>
    </row>
    <row r="10" spans="1:8" ht="15" thickBot="1" x14ac:dyDescent="0.4"/>
    <row r="11" spans="1:8" x14ac:dyDescent="0.35">
      <c r="A11" s="111"/>
      <c r="B11" s="112">
        <v>2021</v>
      </c>
      <c r="C11" s="112">
        <v>2022</v>
      </c>
      <c r="D11" s="113">
        <v>2023</v>
      </c>
    </row>
    <row r="12" spans="1:8" x14ac:dyDescent="0.35">
      <c r="A12" s="2" t="s">
        <v>2</v>
      </c>
      <c r="B12" s="106" t="e">
        <f>COUNTIF(Data!#REF!,"&gt;0")</f>
        <v>#REF!</v>
      </c>
      <c r="C12" s="56" t="e">
        <f>COUNTIF(Data!#REF!,"&gt;0")+18</f>
        <v>#REF!</v>
      </c>
      <c r="D12" s="107">
        <f>+B9</f>
        <v>126</v>
      </c>
    </row>
    <row r="13" spans="1:8" ht="15" thickBot="1" x14ac:dyDescent="0.4">
      <c r="A13" s="108" t="s">
        <v>515</v>
      </c>
      <c r="B13" s="109" t="e">
        <f>+Data!#REF!</f>
        <v>#REF!</v>
      </c>
      <c r="C13" s="110" t="e">
        <f>+Data!#REF!+84102</f>
        <v>#REF!</v>
      </c>
      <c r="D13" s="114">
        <f>+C9</f>
        <v>322580</v>
      </c>
    </row>
    <row r="14" spans="1:8" ht="15" thickBot="1" x14ac:dyDescent="0.4"/>
    <row r="15" spans="1:8" ht="15" thickBot="1" x14ac:dyDescent="0.4">
      <c r="C15" s="116" t="s">
        <v>517</v>
      </c>
      <c r="D15" s="115">
        <v>400000</v>
      </c>
      <c r="E15" t="s">
        <v>519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9"/>
  <sheetViews>
    <sheetView topLeftCell="A2" workbookViewId="0">
      <pane xSplit="3" ySplit="2" topLeftCell="D93" activePane="bottomRight" state="frozen"/>
      <selection activeCell="A2" sqref="A2"/>
      <selection pane="topRight" activeCell="C2" sqref="C2"/>
      <selection pane="bottomLeft" activeCell="A4" sqref="A4"/>
      <selection pane="bottomRight" activeCell="I98" sqref="I98"/>
    </sheetView>
  </sheetViews>
  <sheetFormatPr defaultRowHeight="14.5" x14ac:dyDescent="0.35"/>
  <cols>
    <col min="1" max="1" width="4.26953125" style="144" customWidth="1"/>
    <col min="2" max="2" width="14.453125" style="1" customWidth="1"/>
    <col min="3" max="3" width="18.36328125" style="1" customWidth="1"/>
    <col min="4" max="11" width="8.7265625" style="1"/>
    <col min="12" max="13" width="8.7265625" style="141"/>
    <col min="14" max="14" width="26" style="1" customWidth="1"/>
    <col min="15" max="15" width="27.54296875" style="64" customWidth="1"/>
    <col min="16" max="16" width="28.6328125" style="64" customWidth="1"/>
    <col min="17" max="17" width="15" style="64" customWidth="1"/>
    <col min="18" max="18" width="6.36328125" style="65" customWidth="1"/>
    <col min="19" max="19" width="11" style="66" customWidth="1"/>
    <col min="20" max="16384" width="8.7265625" style="1"/>
  </cols>
  <sheetData>
    <row r="1" spans="1:19" ht="24" thickBot="1" x14ac:dyDescent="0.6">
      <c r="B1" s="158" t="s">
        <v>359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31"/>
    </row>
    <row r="2" spans="1:19" ht="42.5" customHeight="1" thickBot="1" x14ac:dyDescent="0.4">
      <c r="B2" s="159" t="s">
        <v>2</v>
      </c>
      <c r="C2" s="160"/>
      <c r="D2" s="161">
        <v>2024</v>
      </c>
      <c r="E2" s="162"/>
      <c r="F2" s="162"/>
      <c r="G2" s="163"/>
      <c r="H2" s="161">
        <v>2025</v>
      </c>
      <c r="I2" s="162"/>
      <c r="J2" s="162"/>
      <c r="K2" s="163"/>
      <c r="L2" s="167" t="s">
        <v>669</v>
      </c>
      <c r="M2" s="168"/>
      <c r="N2" s="155" t="s">
        <v>388</v>
      </c>
      <c r="O2" s="156"/>
      <c r="P2" s="156"/>
      <c r="Q2" s="156"/>
      <c r="R2" s="156"/>
      <c r="S2" s="157"/>
    </row>
    <row r="3" spans="1:19" s="78" customFormat="1" ht="29.5" thickBot="1" x14ac:dyDescent="0.4">
      <c r="A3" s="145" t="s">
        <v>637</v>
      </c>
      <c r="B3" s="71" t="s">
        <v>0</v>
      </c>
      <c r="C3" s="72" t="s">
        <v>1</v>
      </c>
      <c r="D3" s="73" t="s">
        <v>4</v>
      </c>
      <c r="E3" s="74" t="s">
        <v>7</v>
      </c>
      <c r="F3" s="79" t="s">
        <v>502</v>
      </c>
      <c r="G3" s="75" t="s">
        <v>501</v>
      </c>
      <c r="H3" s="73" t="s">
        <v>4</v>
      </c>
      <c r="I3" s="74" t="s">
        <v>7</v>
      </c>
      <c r="J3" s="79" t="s">
        <v>502</v>
      </c>
      <c r="K3" s="75" t="s">
        <v>501</v>
      </c>
      <c r="L3" s="138" t="s">
        <v>5</v>
      </c>
      <c r="M3" s="139" t="s">
        <v>8</v>
      </c>
      <c r="N3" s="136" t="s">
        <v>555</v>
      </c>
      <c r="O3" s="76" t="s">
        <v>387</v>
      </c>
      <c r="P3" s="76" t="s">
        <v>389</v>
      </c>
      <c r="Q3" s="76" t="s">
        <v>390</v>
      </c>
      <c r="R3" s="76" t="s">
        <v>391</v>
      </c>
      <c r="S3" s="77" t="s">
        <v>392</v>
      </c>
    </row>
    <row r="4" spans="1:19" x14ac:dyDescent="0.35">
      <c r="B4" s="27" t="s">
        <v>6</v>
      </c>
      <c r="C4" s="4" t="s">
        <v>667</v>
      </c>
      <c r="D4" s="22"/>
      <c r="E4" s="25"/>
      <c r="F4" s="13">
        <v>500</v>
      </c>
      <c r="G4" s="26">
        <f>IF(D4="",0,IF(F4&gt;0,0,IF(E4="A",D4,IF(E4="M",D4*12,IF(E4="W",D4*Lookups!C$9,IF(E4="B",D4*+Lookups!C$10,IF(E4="S",D4*2,IF(AND(D4=0,F4&gt;0),F4,"ERROR"))))))))</f>
        <v>0</v>
      </c>
      <c r="H4" s="22">
        <v>24</v>
      </c>
      <c r="I4" s="25" t="s">
        <v>44</v>
      </c>
      <c r="J4" s="13"/>
      <c r="K4" s="26">
        <f>IF(H4="",0,IF(J4&gt;0,0,IF(I4="A",H4,IF(I4="M",H4*12,IF(I4="W",H4*Lookups!D$9,IF(I4="B",H4*+Lookups!D$10,IF(I4="S",H4*2,IF(AND(H4=0,J4&gt;0),J4,"ERROR"))))))))</f>
        <v>624</v>
      </c>
      <c r="L4" s="140">
        <f>IF(OR(AND(K4=0,D4=0),J4&gt;0),"",IF(AND(E4="W",I4="W"),ROUND(K4-(D4*Lookups!$C$9),0),ROUND(+K4-G4,0)))</f>
        <v>624</v>
      </c>
      <c r="M4" s="86" t="str">
        <f>IF(J4&gt;0,"E",IF(L4="","",IF(L4=0,"S",IF(AND(L4&gt;0,NOT(D4=0)),"I",IF(AND(L4&gt;0,D4=0),"N",IF(L4&lt;0,"D","ERROR"))))))</f>
        <v>N</v>
      </c>
      <c r="N4" s="132"/>
      <c r="P4" s="67"/>
    </row>
    <row r="5" spans="1:19" x14ac:dyDescent="0.35">
      <c r="B5" s="27" t="s">
        <v>6</v>
      </c>
      <c r="C5" s="4" t="s">
        <v>668</v>
      </c>
      <c r="D5" s="22"/>
      <c r="E5" s="25"/>
      <c r="F5" s="13"/>
      <c r="G5" s="26"/>
      <c r="H5" s="22">
        <v>50</v>
      </c>
      <c r="I5" s="25" t="s">
        <v>41</v>
      </c>
      <c r="J5" s="13"/>
      <c r="K5" s="26">
        <f>IF(H5="",0,IF(J5&gt;0,0,IF(I5="A",H5,IF(I5="M",H5*12,IF(I5="W",H5*Lookups!D$9,IF(I5="B",H5*+Lookups!D$10,IF(I5="S",H5*2,IF(AND(H5=0,J5&gt;0),J5,"ERROR"))))))))</f>
        <v>2600</v>
      </c>
      <c r="L5" s="140">
        <f>IF(OR(AND(K5=0,D5=0),J5&gt;0),"",IF(AND(E5="W",I5="W"),ROUND(K5-(D5*Lookups!$C$9),0),ROUND(+K5-G5,0)))</f>
        <v>2600</v>
      </c>
      <c r="M5" s="86" t="str">
        <f t="shared" ref="M5:M68" si="0">IF(J5&gt;0,"E",IF(L5="","",IF(L5=0,"S",IF(AND(L5&gt;0,NOT(D5=0)),"I",IF(AND(L5&gt;0,D5=0),"N",IF(L5&lt;0,"D","ERROR"))))))</f>
        <v>N</v>
      </c>
      <c r="N5" s="132"/>
      <c r="P5" s="67"/>
    </row>
    <row r="6" spans="1:19" x14ac:dyDescent="0.35">
      <c r="A6" s="144" t="s">
        <v>638</v>
      </c>
      <c r="B6" s="27" t="s">
        <v>233</v>
      </c>
      <c r="C6" s="4" t="s">
        <v>234</v>
      </c>
      <c r="D6" s="22"/>
      <c r="E6" s="25"/>
      <c r="F6" s="13"/>
      <c r="G6" s="26">
        <f>IF(D6="",0,IF(F6&gt;0,0,IF(E6="A",D6,IF(E6="M",D6*12,IF(E6="W",D6*Lookups!C$9,IF(E6="B",D6*+Lookups!C$10,IF(E6="S",D6*2,IF(AND(D6=0,F6&gt;0),F6,"ERROR"))))))))</f>
        <v>0</v>
      </c>
      <c r="H6" s="22"/>
      <c r="I6" s="25"/>
      <c r="J6" s="13"/>
      <c r="K6" s="26">
        <f>IF(H6="",0,IF(J6&gt;0,0,IF(I6="A",H6,IF(I6="M",H6*12,IF(I6="W",H6*Lookups!D$9,IF(I6="B",H6*+Lookups!D$10,IF(I6="S",H6*2,IF(AND(H6=0,J6&gt;0),J6,"ERROR"))))))))</f>
        <v>0</v>
      </c>
      <c r="L6" s="140" t="str">
        <f>IF(OR(AND(K6=0,D6=0),J6&gt;0),"",IF(AND(E6="W",I6="W"),ROUND(K6-(D6*Lookups!$C$9),0),ROUND(+K6-G6,0)))</f>
        <v/>
      </c>
      <c r="M6" s="86" t="str">
        <f t="shared" si="0"/>
        <v/>
      </c>
      <c r="N6" s="132"/>
    </row>
    <row r="7" spans="1:19" x14ac:dyDescent="0.35">
      <c r="A7" s="144" t="s">
        <v>638</v>
      </c>
      <c r="B7" s="119" t="s">
        <v>233</v>
      </c>
      <c r="C7" s="120" t="s">
        <v>235</v>
      </c>
      <c r="D7" s="122"/>
      <c r="E7" s="124"/>
      <c r="F7" s="121"/>
      <c r="G7" s="94">
        <f>IF(D7="",0,IF(F7&gt;0,0,IF(E7="A",D7,IF(E7="M",D7*12,IF(E7="W",D7*Lookups!C$9,IF(E7="B",D7*+Lookups!C$10,IF(E7="S",D7*2,IF(AND(D7=0,F7&gt;0),F7,"ERROR"))))))))</f>
        <v>0</v>
      </c>
      <c r="H7" s="122"/>
      <c r="I7" s="124"/>
      <c r="J7" s="121"/>
      <c r="K7" s="94">
        <f>IF(H7="",0,IF(J7&gt;0,0,IF(I7="A",H7,IF(I7="M",H7*12,IF(I7="W",H7*Lookups!D$9,IF(I7="B",H7*+Lookups!D$10,IF(I7="S",H7*2,IF(AND(H7=0,J7&gt;0),J7,"ERROR"))))))))</f>
        <v>0</v>
      </c>
      <c r="L7" s="96" t="str">
        <f>IF(OR(AND(K7=0,D7=0),J7&gt;0),"",IF(AND(E7="W",I7="W"),ROUND(K7-(D7*Lookups!$C$9),0),ROUND(+K7-G7,0)))</f>
        <v/>
      </c>
      <c r="M7" s="97" t="str">
        <f t="shared" si="0"/>
        <v/>
      </c>
      <c r="N7" s="133"/>
      <c r="O7" s="125" t="s">
        <v>514</v>
      </c>
      <c r="P7" s="125"/>
      <c r="Q7" s="125"/>
      <c r="R7" s="126"/>
      <c r="S7" s="127"/>
    </row>
    <row r="8" spans="1:19" x14ac:dyDescent="0.35">
      <c r="A8" s="144" t="s">
        <v>638</v>
      </c>
      <c r="B8" s="27" t="s">
        <v>233</v>
      </c>
      <c r="C8" s="4" t="s">
        <v>236</v>
      </c>
      <c r="D8" s="22"/>
      <c r="E8" s="25"/>
      <c r="F8" s="13"/>
      <c r="G8" s="26">
        <f>IF(D8="",0,IF(F8&gt;0,0,IF(E8="A",D8,IF(E8="M",D8*12,IF(E8="W",D8*Lookups!C$9,IF(E8="B",D8*+Lookups!C$10,IF(E8="S",D8*2,IF(AND(D8=0,F8&gt;0),F8,"ERROR"))))))))</f>
        <v>0</v>
      </c>
      <c r="H8" s="22"/>
      <c r="I8" s="25"/>
      <c r="J8" s="13"/>
      <c r="K8" s="26">
        <f>IF(H8="",0,IF(J8&gt;0,0,IF(I8="A",H8,IF(I8="M",H8*12,IF(I8="W",H8*Lookups!D$9,IF(I8="B",H8*+Lookups!D$10,IF(I8="S",H8*2,IF(AND(H8=0,J8&gt;0),J8,"ERROR"))))))))</f>
        <v>0</v>
      </c>
      <c r="L8" s="140" t="str">
        <f>IF(OR(AND(K8=0,D8=0),J8&gt;0),"",IF(AND(E8="W",I8="W"),ROUND(K8-(D8*Lookups!$C$9),0),ROUND(+K8-G8,0)))</f>
        <v/>
      </c>
      <c r="M8" s="86" t="str">
        <f t="shared" si="0"/>
        <v/>
      </c>
      <c r="N8" s="132"/>
    </row>
    <row r="9" spans="1:19" x14ac:dyDescent="0.35">
      <c r="B9" s="27" t="s">
        <v>9</v>
      </c>
      <c r="C9" s="4" t="s">
        <v>10</v>
      </c>
      <c r="D9" s="22">
        <v>1500</v>
      </c>
      <c r="E9" s="25" t="s">
        <v>38</v>
      </c>
      <c r="F9" s="13"/>
      <c r="G9" s="26">
        <f>IF(D9="",0,IF(F9&gt;0,0,IF(E9="A",D9,IF(E9="M",D9*12,IF(E9="W",D9*Lookups!C$9,IF(E9="B",D9*+Lookups!C$10,IF(E9="S",D9*2,IF(AND(D9=0,F9&gt;0),F9,"ERROR"))))))))</f>
        <v>1500</v>
      </c>
      <c r="H9" s="22">
        <v>3000</v>
      </c>
      <c r="I9" s="25" t="s">
        <v>38</v>
      </c>
      <c r="J9" s="13"/>
      <c r="K9" s="26">
        <f>IF(H9="",0,IF(J9&gt;0,0,IF(I9="A",H9,IF(I9="M",H9*12,IF(I9="W",H9*Lookups!D$9,IF(I9="B",H9*+Lookups!D$10,IF(I9="S",H9*2,IF(AND(H9=0,J9&gt;0),J9,"ERROR"))))))))</f>
        <v>3000</v>
      </c>
      <c r="L9" s="140">
        <f>IF(OR(AND(K9=0,D9=0),J9&gt;0),"",IF(AND(E9="W",I9="W"),ROUND(K9-(D9*Lookups!$C$9),0),ROUND(+K9-G9,0)))</f>
        <v>1500</v>
      </c>
      <c r="M9" s="86" t="str">
        <f t="shared" si="0"/>
        <v>I</v>
      </c>
      <c r="N9" s="132"/>
      <c r="O9" s="63" t="s">
        <v>400</v>
      </c>
      <c r="P9" s="64" t="s">
        <v>399</v>
      </c>
      <c r="Q9" s="64" t="s">
        <v>401</v>
      </c>
      <c r="R9" s="65" t="s">
        <v>396</v>
      </c>
      <c r="S9" s="66">
        <v>53126</v>
      </c>
    </row>
    <row r="10" spans="1:19" x14ac:dyDescent="0.35">
      <c r="B10" s="27" t="s">
        <v>9</v>
      </c>
      <c r="C10" s="4" t="s">
        <v>237</v>
      </c>
      <c r="D10" s="22"/>
      <c r="E10" s="25"/>
      <c r="F10" s="13">
        <v>3000</v>
      </c>
      <c r="G10" s="26">
        <f>IF(D10="",0,IF(F10&gt;0,0,IF(E10="A",D10,IF(E10="M",D10*12,IF(E10="W",D10*Lookups!C$9,IF(E10="B",D10*+Lookups!C$10,IF(E10="S",D10*2,IF(AND(D10=0,F10&gt;0),F10,"ERROR"))))))))</f>
        <v>0</v>
      </c>
      <c r="H10" s="22"/>
      <c r="I10" s="25"/>
      <c r="J10" s="169"/>
      <c r="K10" s="26">
        <f>IF(H10="",0,IF(J10&gt;0,0,IF(I10="A",H10,IF(I10="M",H10*12,IF(I10="W",H10*Lookups!D$9,IF(I10="B",H10*+Lookups!D$10,IF(I10="S",H10*2,IF(AND(H10=0,J10&gt;0),J10,"ERROR"))))))))</f>
        <v>0</v>
      </c>
      <c r="L10" s="140" t="str">
        <f>IF(OR(AND(K10=0,D10=0),J10&gt;0),"",IF(AND(E10="W",I10="W"),ROUND(K10-(D10*Lookups!$C$9),0),ROUND(+K10-G10,0)))</f>
        <v/>
      </c>
      <c r="M10" s="86" t="str">
        <f t="shared" si="0"/>
        <v/>
      </c>
      <c r="N10" s="132"/>
    </row>
    <row r="11" spans="1:19" x14ac:dyDescent="0.35">
      <c r="B11" s="27" t="s">
        <v>61</v>
      </c>
      <c r="C11" s="4" t="s">
        <v>62</v>
      </c>
      <c r="D11" s="22"/>
      <c r="E11" s="25"/>
      <c r="F11" s="13">
        <v>500</v>
      </c>
      <c r="G11" s="26">
        <f>IF(D11="",0,IF(F11&gt;0,0,IF(E11="A",D11,IF(E11="M",D11*12,IF(E11="W",D11*Lookups!C$9,IF(E11="B",D11*+Lookups!C$10,IF(E11="S",D11*2,IF(AND(D11=0,F11&gt;0),F11,"ERROR"))))))))</f>
        <v>0</v>
      </c>
      <c r="H11" s="22">
        <v>75</v>
      </c>
      <c r="I11" s="25" t="s">
        <v>42</v>
      </c>
      <c r="J11" s="13"/>
      <c r="K11" s="26">
        <f>IF(H11="",0,IF(J11&gt;0,0,IF(I11="A",H11,IF(I11="M",H11*12,IF(I11="W",H11*Lookups!D$9,IF(I11="B",H11*+Lookups!D$10,IF(I11="S",H11*2,IF(AND(H11=0,J11&gt;0),J11,"ERROR"))))))))</f>
        <v>900</v>
      </c>
      <c r="L11" s="140">
        <f>IF(OR(AND(K11=0,D11=0),J11&gt;0),"",IF(AND(E11="W",I11="W"),ROUND(K11-(D11*Lookups!$C$9),0),ROUND(+K11-G11,0)))</f>
        <v>900</v>
      </c>
      <c r="M11" s="86" t="str">
        <f t="shared" si="0"/>
        <v>N</v>
      </c>
      <c r="N11" s="132"/>
      <c r="O11" s="63" t="s">
        <v>398</v>
      </c>
      <c r="P11" s="64" t="s">
        <v>397</v>
      </c>
      <c r="Q11" s="64" t="s">
        <v>395</v>
      </c>
      <c r="R11" s="65" t="s">
        <v>396</v>
      </c>
      <c r="S11" s="66">
        <v>53406</v>
      </c>
    </row>
    <row r="12" spans="1:19" x14ac:dyDescent="0.35">
      <c r="B12" s="27" t="s">
        <v>11</v>
      </c>
      <c r="C12" s="4" t="s">
        <v>65</v>
      </c>
      <c r="D12" s="22"/>
      <c r="E12" s="25"/>
      <c r="F12" s="13">
        <v>1350</v>
      </c>
      <c r="G12" s="26">
        <f>IF(D12="",0,IF(F12&gt;0,0,IF(E12="A",D12,IF(E12="M",D12*12,IF(E12="W",D12*Lookups!C$9,IF(E12="B",D12*+Lookups!C$10,IF(E12="S",D12*2,IF(AND(D12=0,F12&gt;0),F12,"ERROR"))))))))</f>
        <v>0</v>
      </c>
      <c r="H12" s="22"/>
      <c r="I12" s="25"/>
      <c r="J12" s="13"/>
      <c r="K12" s="26">
        <f>IF(H12="",0,IF(J12&gt;0,0,IF(I12="A",H12,IF(I12="M",H12*12,IF(I12="W",H12*Lookups!D$9,IF(I12="B",H12*+Lookups!D$10,IF(I12="S",H12*2,IF(AND(H12=0,J12&gt;0),J12,"ERROR"))))))))</f>
        <v>0</v>
      </c>
      <c r="L12" s="140" t="str">
        <f>IF(OR(AND(K12=0,D12=0),J12&gt;0),"",IF(AND(E12="W",I12="W"),ROUND(K12-(D12*Lookups!$C$9),0),ROUND(+K12-G12,0)))</f>
        <v/>
      </c>
      <c r="M12" s="86" t="str">
        <f t="shared" si="0"/>
        <v/>
      </c>
      <c r="N12" s="132"/>
    </row>
    <row r="13" spans="1:19" x14ac:dyDescent="0.35">
      <c r="A13" s="144" t="s">
        <v>638</v>
      </c>
      <c r="B13" s="119" t="s">
        <v>12</v>
      </c>
      <c r="C13" s="120" t="s">
        <v>13</v>
      </c>
      <c r="D13" s="122"/>
      <c r="E13" s="124"/>
      <c r="F13" s="121"/>
      <c r="G13" s="123">
        <f>IF(D13="",0,IF(F13&gt;0,0,IF(E13="A",D13,IF(E13="M",D13*12,IF(E13="W",D13*Lookups!C$9,IF(E13="B",D13*+Lookups!C$10,IF(E13="S",D13*2,IF(AND(D13=0,F13&gt;0),F13,"ERROR"))))))))</f>
        <v>0</v>
      </c>
      <c r="H13" s="122"/>
      <c r="I13" s="124"/>
      <c r="J13" s="121"/>
      <c r="K13" s="123">
        <f>IF(H13="",0,IF(J13&gt;0,0,IF(I13="A",H13,IF(I13="M",H13*12,IF(I13="W",H13*Lookups!D$9,IF(I13="B",H13*+Lookups!D$10,IF(I13="S",H13*2,IF(AND(H13=0,J13&gt;0),J13,"ERROR"))))))))</f>
        <v>0</v>
      </c>
      <c r="L13" s="96" t="str">
        <f>IF(OR(AND(K13=0,D13=0),J13&gt;0),"",IF(AND(E13="W",I13="W"),ROUND(K13-(D13*Lookups!$C$9),0),ROUND(+K13-G13,0)))</f>
        <v/>
      </c>
      <c r="M13" s="150" t="str">
        <f t="shared" si="0"/>
        <v/>
      </c>
      <c r="N13" s="133" t="s">
        <v>654</v>
      </c>
      <c r="O13" s="128" t="s">
        <v>402</v>
      </c>
      <c r="P13" s="125" t="s">
        <v>403</v>
      </c>
      <c r="Q13" s="125" t="s">
        <v>395</v>
      </c>
      <c r="R13" s="126" t="s">
        <v>396</v>
      </c>
      <c r="S13" s="127">
        <v>53405</v>
      </c>
    </row>
    <row r="14" spans="1:19" x14ac:dyDescent="0.35">
      <c r="B14" s="27" t="s">
        <v>63</v>
      </c>
      <c r="C14" s="4" t="s">
        <v>64</v>
      </c>
      <c r="D14" s="22"/>
      <c r="E14" s="25"/>
      <c r="F14" s="13">
        <v>1200</v>
      </c>
      <c r="G14" s="26">
        <f>IF(D14="",0,IF(F14&gt;0,0,IF(E14="A",D14,IF(E14="M",D14*12,IF(E14="W",D14*Lookups!C$9,IF(E14="B",D14*+Lookups!C$10,IF(E14="S",D14*2,IF(AND(D14=0,F14&gt;0),F14,"ERROR"))))))))</f>
        <v>0</v>
      </c>
      <c r="H14" s="22"/>
      <c r="I14" s="25"/>
      <c r="J14" s="13"/>
      <c r="K14" s="26">
        <f>IF(H14="",0,IF(J14&gt;0,0,IF(I14="A",H14,IF(I14="M",H14*12,IF(I14="W",H14*Lookups!D$9,IF(I14="B",H14*+Lookups!D$10,IF(I14="S",H14*2,IF(AND(H14=0,J14&gt;0),J14,"ERROR"))))))))</f>
        <v>0</v>
      </c>
      <c r="L14" s="140" t="str">
        <f>IF(OR(AND(K14=0,D14=0),J14&gt;0),"",IF(AND(E14="W",I14="W"),ROUND(K14-(D14*Lookups!$C$9),0),ROUND(+K14-G14,0)))</f>
        <v/>
      </c>
      <c r="M14" s="86" t="str">
        <f t="shared" si="0"/>
        <v/>
      </c>
      <c r="N14" s="132"/>
    </row>
    <row r="15" spans="1:19" x14ac:dyDescent="0.35">
      <c r="B15" s="27" t="s">
        <v>238</v>
      </c>
      <c r="C15" s="4" t="s">
        <v>239</v>
      </c>
      <c r="D15" s="22">
        <v>50</v>
      </c>
      <c r="E15" s="25" t="s">
        <v>42</v>
      </c>
      <c r="F15" s="13"/>
      <c r="G15" s="26">
        <f>IF(D15="",0,IF(F15&gt;0,0,IF(E15="A",D15,IF(E15="M",D15*12,IF(E15="W",D15*Lookups!C$9,IF(E15="B",D15*+Lookups!C$10,IF(E15="S",D15*2,IF(AND(D15=0,F15&gt;0),F15,"ERROR"))))))))</f>
        <v>600</v>
      </c>
      <c r="H15" s="22">
        <v>50</v>
      </c>
      <c r="I15" s="25" t="s">
        <v>41</v>
      </c>
      <c r="J15" s="13"/>
      <c r="K15" s="26">
        <f>IF(H15="",0,IF(J15&gt;0,0,IF(I15="A",H15,IF(I15="M",H15*12,IF(I15="W",H15*Lookups!D$9,IF(I15="B",H15*+Lookups!D$10,IF(I15="S",H15*2,IF(AND(H15=0,J15&gt;0),J15,"ERROR"))))))))</f>
        <v>2600</v>
      </c>
      <c r="L15" s="140">
        <f>IF(OR(AND(K15=0,D15=0),J15&gt;0),"",IF(AND(E15="W",I15="W"),ROUND(K15-(D15*Lookups!$C$9),0),ROUND(+K15-G15,0)))</f>
        <v>2000</v>
      </c>
      <c r="M15" s="86" t="str">
        <f t="shared" si="0"/>
        <v>I</v>
      </c>
      <c r="N15" s="132"/>
      <c r="O15" s="63" t="s">
        <v>404</v>
      </c>
      <c r="P15" s="64" t="s">
        <v>405</v>
      </c>
      <c r="Q15" s="64" t="s">
        <v>395</v>
      </c>
      <c r="R15" s="65" t="s">
        <v>396</v>
      </c>
      <c r="S15" s="66">
        <v>53406</v>
      </c>
    </row>
    <row r="16" spans="1:19" x14ac:dyDescent="0.35">
      <c r="B16" s="27" t="s">
        <v>14</v>
      </c>
      <c r="C16" s="4" t="s">
        <v>15</v>
      </c>
      <c r="D16" s="22"/>
      <c r="E16" s="25"/>
      <c r="F16" s="13">
        <v>300</v>
      </c>
      <c r="G16" s="26">
        <f>IF(D16="",0,IF(F16&gt;0,0,IF(E16="A",D16,IF(E16="M",D16*12,IF(E16="W",D16*Lookups!C$9,IF(E16="B",D16*+Lookups!C$10,IF(E16="S",D16*2,IF(AND(D16=0,F16&gt;0),F16,"ERROR"))))))))</f>
        <v>0</v>
      </c>
      <c r="H16" s="22"/>
      <c r="I16" s="25"/>
      <c r="J16" s="13"/>
      <c r="K16" s="26">
        <f>IF(H16="",0,IF(J16&gt;0,0,IF(I16="A",H16,IF(I16="M",H16*12,IF(I16="W",H16*Lookups!D$9,IF(I16="B",H16*+Lookups!D$10,IF(I16="S",H16*2,IF(AND(H16=0,J16&gt;0),J16,"ERROR"))))))))</f>
        <v>0</v>
      </c>
      <c r="L16" s="140" t="str">
        <f>IF(OR(AND(K16=0,D16=0),J16&gt;0),"",IF(AND(E16="W",I16="W"),ROUND(K16-(D16*Lookups!$C$9),0),ROUND(+K16-G16,0)))</f>
        <v/>
      </c>
      <c r="M16" s="86" t="str">
        <f t="shared" si="0"/>
        <v/>
      </c>
      <c r="N16" s="132"/>
    </row>
    <row r="17" spans="1:20" x14ac:dyDescent="0.35">
      <c r="B17" s="27" t="s">
        <v>16</v>
      </c>
      <c r="C17" s="4" t="s">
        <v>17</v>
      </c>
      <c r="D17" s="22">
        <v>350</v>
      </c>
      <c r="E17" s="25" t="s">
        <v>42</v>
      </c>
      <c r="F17" s="13"/>
      <c r="G17" s="26">
        <f>IF(D17="",0,IF(F17&gt;0,0,IF(E17="A",D17,IF(E17="M",D17*12,IF(E17="W",D17*Lookups!C$9,IF(E17="B",D17*+Lookups!C$10,IF(E17="S",D17*2,IF(AND(D17=0,F17&gt;0),F17,"ERROR"))))))))</f>
        <v>4200</v>
      </c>
      <c r="H17" s="22">
        <v>375</v>
      </c>
      <c r="I17" s="25" t="s">
        <v>42</v>
      </c>
      <c r="J17" s="13"/>
      <c r="K17" s="26">
        <f>IF(H17="",0,IF(J17&gt;0,0,IF(I17="A",H17,IF(I17="M",H17*12,IF(I17="W",H17*Lookups!D$9,IF(I17="B",H17*+Lookups!D$10,IF(I17="S",H17*2,IF(AND(H17=0,J17&gt;0),J17,"ERROR"))))))))</f>
        <v>4500</v>
      </c>
      <c r="L17" s="140">
        <f>IF(OR(AND(K17=0,D17=0),J17&gt;0),"",IF(AND(E17="W",I17="W"),ROUND(K17-(D17*Lookups!$C$9),0),ROUND(+K17-G17,0)))</f>
        <v>300</v>
      </c>
      <c r="M17" s="86" t="str">
        <f t="shared" si="0"/>
        <v>I</v>
      </c>
      <c r="N17" s="132" t="s">
        <v>655</v>
      </c>
      <c r="O17" s="63" t="s">
        <v>406</v>
      </c>
      <c r="P17" s="64" t="s">
        <v>407</v>
      </c>
      <c r="Q17" s="64" t="s">
        <v>395</v>
      </c>
      <c r="R17" s="65" t="s">
        <v>396</v>
      </c>
      <c r="S17" s="66">
        <v>53406</v>
      </c>
    </row>
    <row r="18" spans="1:20" x14ac:dyDescent="0.35">
      <c r="B18" s="27" t="s">
        <v>408</v>
      </c>
      <c r="C18" s="4" t="s">
        <v>19</v>
      </c>
      <c r="D18" s="22">
        <v>720</v>
      </c>
      <c r="E18" s="25" t="s">
        <v>42</v>
      </c>
      <c r="F18" s="13"/>
      <c r="G18" s="26">
        <f>IF(D18="",0,IF(F18&gt;0,0,IF(E18="A",D18,IF(E18="M",D18*12,IF(E18="W",D18*Lookups!C$9,IF(E18="B",D18*+Lookups!C$10,IF(E18="S",D18*2,IF(AND(D18=0,F18&gt;0),F18,"ERROR"))))))))</f>
        <v>8640</v>
      </c>
      <c r="H18" s="22">
        <v>720</v>
      </c>
      <c r="I18" s="25" t="s">
        <v>42</v>
      </c>
      <c r="J18" s="13"/>
      <c r="K18" s="26">
        <f>IF(H18="",0,IF(J18&gt;0,0,IF(I18="A",H18,IF(I18="M",H18*12,IF(I18="W",H18*Lookups!D$9,IF(I18="B",H18*+Lookups!D$10,IF(I18="S",H18*2,IF(AND(H18=0,J18&gt;0),J18,"ERROR"))))))))</f>
        <v>8640</v>
      </c>
      <c r="L18" s="140">
        <f>IF(OR(AND(K18=0,D18=0),J18&gt;0),"",IF(AND(E18="W",I18="W"),ROUND(K18-(D18*Lookups!$C$9),0),ROUND(+K18-G18,0)))</f>
        <v>0</v>
      </c>
      <c r="M18" s="86" t="str">
        <f t="shared" si="0"/>
        <v>S</v>
      </c>
      <c r="N18" s="132"/>
      <c r="O18" s="63" t="s">
        <v>409</v>
      </c>
      <c r="P18" s="64" t="s">
        <v>410</v>
      </c>
      <c r="Q18" s="64" t="s">
        <v>401</v>
      </c>
      <c r="R18" s="65" t="s">
        <v>396</v>
      </c>
      <c r="S18" s="66">
        <v>53126</v>
      </c>
    </row>
    <row r="19" spans="1:20" x14ac:dyDescent="0.35">
      <c r="B19" s="27" t="s">
        <v>18</v>
      </c>
      <c r="C19" s="4" t="s">
        <v>620</v>
      </c>
      <c r="D19" s="22">
        <v>3000</v>
      </c>
      <c r="E19" s="25" t="s">
        <v>38</v>
      </c>
      <c r="F19" s="13"/>
      <c r="G19" s="26">
        <f>IF(D19="",0,IF(F19&gt;0,0,IF(E19="A",D19,IF(E19="M",D19*12,IF(E19="W",D19*Lookups!C$9,IF(E19="B",D19*+Lookups!C$10,IF(E19="S",D19*2,IF(AND(D19=0,F19&gt;0),F19,"ERROR"))))))))</f>
        <v>3000</v>
      </c>
      <c r="H19" s="22">
        <v>3000</v>
      </c>
      <c r="I19" s="25" t="s">
        <v>38</v>
      </c>
      <c r="J19" s="13"/>
      <c r="K19" s="26">
        <f>IF(H19="",0,IF(J19&gt;0,0,IF(I19="A",H19,IF(I19="M",H19*12,IF(I19="W",H19*Lookups!D$9,IF(I19="B",H19*+Lookups!D$10,IF(I19="S",H19*2,IF(AND(H19=0,J19&gt;0),J19,"ERROR"))))))))</f>
        <v>3000</v>
      </c>
      <c r="L19" s="140">
        <f>IF(OR(AND(K19=0,D19=0),J19&gt;0),"",IF(AND(E19="W",I19="W"),ROUND(K19-(D19*Lookups!$C$9),0),ROUND(+K19-G19,0)))</f>
        <v>0</v>
      </c>
      <c r="M19" s="86" t="str">
        <f t="shared" si="0"/>
        <v>S</v>
      </c>
      <c r="N19" s="132"/>
      <c r="O19" s="63" t="s">
        <v>640</v>
      </c>
      <c r="P19" s="64" t="s">
        <v>641</v>
      </c>
      <c r="Q19" s="64" t="s">
        <v>413</v>
      </c>
      <c r="R19" s="65" t="s">
        <v>396</v>
      </c>
      <c r="S19" s="66">
        <v>53108</v>
      </c>
    </row>
    <row r="20" spans="1:20" x14ac:dyDescent="0.35">
      <c r="A20" s="144" t="s">
        <v>638</v>
      </c>
      <c r="B20" s="119" t="s">
        <v>240</v>
      </c>
      <c r="C20" s="120" t="s">
        <v>241</v>
      </c>
      <c r="D20" s="122"/>
      <c r="E20" s="124"/>
      <c r="F20" s="121"/>
      <c r="G20" s="123">
        <f>IF(D20="",0,IF(F20&gt;0,0,IF(E20="A",D20,IF(E20="M",D20*12,IF(E20="W",D20*Lookups!C$9,IF(E20="B",D20*+Lookups!C$10,IF(E20="S",D20*2,IF(AND(D20=0,F20&gt;0),F20,"ERROR"))))))))</f>
        <v>0</v>
      </c>
      <c r="H20" s="122"/>
      <c r="I20" s="124"/>
      <c r="J20" s="121"/>
      <c r="K20" s="123">
        <f>IF(H20="",0,IF(J20&gt;0,0,IF(I20="A",H20,IF(I20="M",H20*12,IF(I20="W",H20*Lookups!D$9,IF(I20="B",H20*+Lookups!D$10,IF(I20="S",H20*2,IF(AND(H20=0,J20&gt;0),J20,"ERROR"))))))))</f>
        <v>0</v>
      </c>
      <c r="L20" s="96" t="str">
        <f>IF(OR(AND(K20=0,D20=0),J20&gt;0),"",IF(AND(E20="W",I20="W"),ROUND(K20-(D20*Lookups!$C$9),0),ROUND(+K20-G20,0)))</f>
        <v/>
      </c>
      <c r="M20" s="142" t="str">
        <f t="shared" si="0"/>
        <v/>
      </c>
      <c r="N20" s="133" t="s">
        <v>506</v>
      </c>
      <c r="O20" s="125"/>
      <c r="P20" s="125"/>
      <c r="Q20" s="125"/>
      <c r="R20" s="126"/>
      <c r="S20" s="127"/>
    </row>
    <row r="21" spans="1:20" x14ac:dyDescent="0.35">
      <c r="B21" s="27" t="s">
        <v>20</v>
      </c>
      <c r="C21" s="4" t="s">
        <v>21</v>
      </c>
      <c r="D21" s="22">
        <v>30</v>
      </c>
      <c r="E21" s="25" t="s">
        <v>41</v>
      </c>
      <c r="F21" s="13"/>
      <c r="G21" s="26">
        <f>IF(D21="",0,IF(F21&gt;0,0,IF(E21="A",D21,IF(E21="M",D21*12,IF(E21="W",D21*Lookups!C$9,IF(E21="B",D21*+Lookups!C$10,IF(E21="S",D21*2,IF(AND(D21=0,F21&gt;0),F21,"ERROR"))))))))</f>
        <v>1560</v>
      </c>
      <c r="H21" s="22">
        <v>35</v>
      </c>
      <c r="I21" s="25" t="s">
        <v>41</v>
      </c>
      <c r="J21" s="13"/>
      <c r="K21" s="26">
        <f>IF(H21="",0,IF(J21&gt;0,0,IF(I21="A",H21,IF(I21="M",H21*12,IF(I21="W",H21*Lookups!D$9,IF(I21="B",H21*+Lookups!D$10,IF(I21="S",H21*2,IF(AND(H21=0,J21&gt;0),J21,"ERROR"))))))))</f>
        <v>1820</v>
      </c>
      <c r="L21" s="140">
        <f>IF(OR(AND(K21=0,D21=0),J21&gt;0),"",IF(AND(E21="W",I21="W"),ROUND(K21-(D21*Lookups!$C$9),0),ROUND(+K21-G21,0)))</f>
        <v>260</v>
      </c>
      <c r="M21" s="86" t="str">
        <f t="shared" si="0"/>
        <v>I</v>
      </c>
      <c r="N21" s="132"/>
      <c r="O21" s="63" t="s">
        <v>411</v>
      </c>
      <c r="P21" s="64" t="s">
        <v>412</v>
      </c>
      <c r="Q21" s="64" t="s">
        <v>413</v>
      </c>
      <c r="R21" s="65" t="s">
        <v>396</v>
      </c>
      <c r="S21" s="66">
        <v>53108</v>
      </c>
    </row>
    <row r="22" spans="1:20" x14ac:dyDescent="0.35">
      <c r="B22" s="27" t="s">
        <v>22</v>
      </c>
      <c r="C22" s="4" t="s">
        <v>414</v>
      </c>
      <c r="D22" s="22">
        <v>50</v>
      </c>
      <c r="E22" s="25" t="s">
        <v>41</v>
      </c>
      <c r="F22" s="13"/>
      <c r="G22" s="26">
        <f>IF(D22="",0,IF(F22&gt;0,0,IF(E22="A",D22,IF(E22="M",D22*12,IF(E22="W",D22*Lookups!C$9,IF(E22="B",D22*+Lookups!C$10,IF(E22="S",D22*2,IF(AND(D22=0,F22&gt;0),F22,"ERROR"))))))))</f>
        <v>2600</v>
      </c>
      <c r="H22" s="22">
        <v>50</v>
      </c>
      <c r="I22" s="25" t="s">
        <v>41</v>
      </c>
      <c r="J22" s="13"/>
      <c r="K22" s="26">
        <f>IF(H22="",0,IF(J22&gt;0,0,IF(I22="A",H22,IF(I22="M",H22*12,IF(I22="W",H22*Lookups!D$9,IF(I22="B",H22*+Lookups!D$10,IF(I22="S",H22*2,IF(AND(H22=0,J22&gt;0),J22,"ERROR"))))))))</f>
        <v>2600</v>
      </c>
      <c r="L22" s="140">
        <f>IF(OR(AND(K22=0,D22=0),J22&gt;0),"",IF(AND(E22="W",I22="W"),ROUND(K22-(D22*Lookups!$C$9),0),ROUND(+K22-G22,0)))</f>
        <v>0</v>
      </c>
      <c r="M22" s="86" t="str">
        <f t="shared" si="0"/>
        <v>S</v>
      </c>
      <c r="N22" s="132"/>
      <c r="P22" s="64" t="s">
        <v>415</v>
      </c>
      <c r="Q22" s="64" t="s">
        <v>401</v>
      </c>
      <c r="R22" s="65" t="s">
        <v>396</v>
      </c>
      <c r="S22" s="66">
        <v>53126</v>
      </c>
      <c r="T22" s="64" t="s">
        <v>416</v>
      </c>
    </row>
    <row r="23" spans="1:20" x14ac:dyDescent="0.35">
      <c r="B23" s="24" t="s">
        <v>25</v>
      </c>
      <c r="C23" s="4" t="s">
        <v>26</v>
      </c>
      <c r="D23" s="22">
        <v>200</v>
      </c>
      <c r="E23" s="25" t="s">
        <v>42</v>
      </c>
      <c r="F23" s="13"/>
      <c r="G23" s="26">
        <f>IF(D23="",0,IF(F23&gt;0,0,IF(E23="A",D23,IF(E23="M",D23*12,IF(E23="W",D23*Lookups!C$9,IF(E23="B",D23*+Lookups!C$10,IF(E23="S",D23*2,IF(AND(D23=0,F23&gt;0),F23,"ERROR"))))))))</f>
        <v>2400</v>
      </c>
      <c r="H23" s="22">
        <v>200</v>
      </c>
      <c r="I23" s="25" t="s">
        <v>42</v>
      </c>
      <c r="J23" s="13"/>
      <c r="K23" s="26">
        <f>IF(H23="",0,IF(J23&gt;0,0,IF(I23="A",H23,IF(I23="M",H23*12,IF(I23="W",H23*Lookups!D$9,IF(I23="B",H23*+Lookups!D$10,IF(I23="S",H23*2,IF(AND(H23=0,J23&gt;0),J23,"ERROR"))))))))</f>
        <v>2400</v>
      </c>
      <c r="L23" s="140">
        <f>IF(OR(AND(K23=0,D23=0),J23&gt;0),"",IF(AND(E23="W",I23="W"),ROUND(K23-(D23*Lookups!$C$9),0),ROUND(+K23-G23,0)))</f>
        <v>0</v>
      </c>
      <c r="M23" s="86" t="str">
        <f t="shared" si="0"/>
        <v>S</v>
      </c>
      <c r="N23" s="132"/>
      <c r="P23" s="64" t="s">
        <v>661</v>
      </c>
      <c r="Q23" s="64" t="s">
        <v>395</v>
      </c>
      <c r="R23" s="65" t="s">
        <v>396</v>
      </c>
      <c r="S23" s="66">
        <v>53406</v>
      </c>
    </row>
    <row r="24" spans="1:20" x14ac:dyDescent="0.35">
      <c r="B24" s="27" t="s">
        <v>25</v>
      </c>
      <c r="C24" s="4" t="s">
        <v>29</v>
      </c>
      <c r="D24" s="22"/>
      <c r="E24" s="25"/>
      <c r="F24" s="13"/>
      <c r="G24" s="26">
        <f>IF(D24="",0,IF(F24&gt;0,0,IF(E24="A",D24,IF(E24="M",D24*12,IF(E24="W",D24*Lookups!C$9,IF(E24="B",D24*+Lookups!C$10,IF(E24="S",D24*2,IF(AND(D24=0,F24&gt;0),F24,"ERROR"))))))))</f>
        <v>0</v>
      </c>
      <c r="H24" s="22">
        <v>1200</v>
      </c>
      <c r="I24" s="25" t="s">
        <v>38</v>
      </c>
      <c r="J24" s="13"/>
      <c r="K24" s="26">
        <f>IF(H24="",0,IF(J24&gt;0,0,IF(I24="A",H24,IF(I24="M",H24*12,IF(I24="W",H24*Lookups!D$9,IF(I24="B",H24*+Lookups!D$10,IF(I24="S",H24*2,IF(AND(H24=0,J24&gt;0),J24,"ERROR"))))))))</f>
        <v>1200</v>
      </c>
      <c r="L24" s="140">
        <f>IF(OR(AND(K24=0,D24=0),J24&gt;0),"",IF(AND(E24="W",I24="W"),ROUND(K24-(D24*Lookups!$C$9),0),ROUND(+K24-G24,0)))</f>
        <v>1200</v>
      </c>
      <c r="M24" s="86" t="str">
        <f t="shared" si="0"/>
        <v>N</v>
      </c>
      <c r="N24" s="132"/>
    </row>
    <row r="25" spans="1:20" x14ac:dyDescent="0.35">
      <c r="B25" s="27" t="s">
        <v>242</v>
      </c>
      <c r="C25" s="4" t="s">
        <v>243</v>
      </c>
      <c r="D25" s="22">
        <v>5</v>
      </c>
      <c r="E25" s="25" t="s">
        <v>41</v>
      </c>
      <c r="F25" s="13"/>
      <c r="G25" s="26">
        <f>IF(D25="",0,IF(F25&gt;0,0,IF(E25="A",D25,IF(E25="M",D25*12,IF(E25="W",D25*Lookups!C$9,IF(E25="B",D25*+Lookups!C$10,IF(E25="S",D25*2,IF(AND(D25=0,F25&gt;0),F25,"ERROR"))))))))</f>
        <v>260</v>
      </c>
      <c r="H25" s="22"/>
      <c r="I25" s="25"/>
      <c r="J25" s="13"/>
      <c r="K25" s="26">
        <f>IF(H25="",0,IF(J25&gt;0,0,IF(I25="A",H25,IF(I25="M",H25*12,IF(I25="W",H25*Lookups!D$9,IF(I25="B",H25*+Lookups!D$10,IF(I25="S",H25*2,IF(AND(H25=0,J25&gt;0),J25,"ERROR"))))))))</f>
        <v>0</v>
      </c>
      <c r="L25" s="140">
        <f>IF(OR(AND(K25=0,D25=0),J25&gt;0),"",IF(AND(E25="W",I25="W"),ROUND(K25-(D25*Lookups!$C$9),0),ROUND(+K25-G25,0)))</f>
        <v>-260</v>
      </c>
      <c r="M25" s="86" t="str">
        <f t="shared" si="0"/>
        <v>D</v>
      </c>
      <c r="N25" s="132"/>
      <c r="O25" s="63" t="s">
        <v>528</v>
      </c>
      <c r="P25" s="64" t="s">
        <v>529</v>
      </c>
      <c r="Q25" s="64" t="s">
        <v>530</v>
      </c>
      <c r="R25" s="65" t="s">
        <v>396</v>
      </c>
      <c r="S25" s="66">
        <v>53144</v>
      </c>
    </row>
    <row r="26" spans="1:20" x14ac:dyDescent="0.35">
      <c r="B26" s="27" t="s">
        <v>242</v>
      </c>
      <c r="C26" s="4" t="s">
        <v>621</v>
      </c>
      <c r="D26" s="22"/>
      <c r="E26" s="25"/>
      <c r="F26" s="13"/>
      <c r="G26" s="26">
        <f>IF(D26="",0,IF(F26&gt;0,0,IF(E26="A",D26,IF(E26="M",D26*12,IF(E26="W",D26*Lookups!C$9,IF(E26="B",D26*+Lookups!C$10,IF(E26="S",D26*2,IF(AND(D26=0,F26&gt;0),F26,"ERROR"))))))))</f>
        <v>0</v>
      </c>
      <c r="H26" s="22"/>
      <c r="I26" s="25"/>
      <c r="J26" s="13"/>
      <c r="K26" s="26">
        <f>IF(H26="",0,IF(J26&gt;0,0,IF(I26="A",H26,IF(I26="M",H26*12,IF(I26="W",H26*Lookups!D$9,IF(I26="B",H26*+Lookups!D$10,IF(I26="S",H26*2,IF(AND(H26=0,J26&gt;0),J26,"ERROR"))))))))</f>
        <v>0</v>
      </c>
      <c r="L26" s="140" t="str">
        <f>IF(OR(AND(K26=0,D26=0),J26&gt;0),"",IF(AND(E26="W",I26="W"),ROUND(K26-(D26*Lookups!$C$9),0),ROUND(+K26-G26,0)))</f>
        <v/>
      </c>
      <c r="M26" s="86" t="str">
        <f t="shared" si="0"/>
        <v/>
      </c>
      <c r="N26" s="132"/>
    </row>
    <row r="27" spans="1:20" x14ac:dyDescent="0.35">
      <c r="B27" s="27" t="s">
        <v>66</v>
      </c>
      <c r="C27" s="4" t="s">
        <v>24</v>
      </c>
      <c r="D27" s="22"/>
      <c r="E27" s="25"/>
      <c r="F27" s="13">
        <v>500</v>
      </c>
      <c r="G27" s="26">
        <f>IF(D27="",0,IF(F27&gt;0,0,IF(E27="A",D27,IF(E27="M",D27*12,IF(E27="W",D27*Lookups!C$9,IF(E27="B",D27*+Lookups!C$10,IF(E27="S",D27*2,IF(AND(D27=0,F27&gt;0),F27,"ERROR"))))))))</f>
        <v>0</v>
      </c>
      <c r="H27" s="22"/>
      <c r="I27" s="25"/>
      <c r="J27" s="13"/>
      <c r="K27" s="26">
        <f>IF(H27="",0,IF(J27&gt;0,0,IF(I27="A",H27,IF(I27="M",H27*12,IF(I27="W",H27*Lookups!D$9,IF(I27="B",H27*+Lookups!D$10,IF(I27="S",H27*2,IF(AND(H27=0,J27&gt;0),J27,"ERROR"))))))))</f>
        <v>0</v>
      </c>
      <c r="L27" s="140" t="str">
        <f>IF(OR(AND(K27=0,D27=0),J27&gt;0),"",IF(AND(E27="W",I27="W"),ROUND(K27-(D27*Lookups!$C$9),0),ROUND(+K27-G27,0)))</f>
        <v/>
      </c>
      <c r="M27" s="86" t="str">
        <f t="shared" si="0"/>
        <v/>
      </c>
      <c r="N27" s="132"/>
    </row>
    <row r="28" spans="1:20" x14ac:dyDescent="0.35">
      <c r="B28" s="27" t="s">
        <v>27</v>
      </c>
      <c r="C28" s="4" t="s">
        <v>28</v>
      </c>
      <c r="D28" s="22">
        <v>80</v>
      </c>
      <c r="E28" s="25" t="s">
        <v>41</v>
      </c>
      <c r="F28" s="13"/>
      <c r="G28" s="26">
        <f>IF(D28="",0,IF(F28&gt;0,0,IF(E28="A",D28,IF(E28="M",D28*12,IF(E28="W",D28*Lookups!C$9,IF(E28="B",D28*+Lookups!C$10,IF(E28="S",D28*2,IF(AND(D28=0,F28&gt;0),F28,"ERROR"))))))))</f>
        <v>4160</v>
      </c>
      <c r="H28" s="22">
        <v>85</v>
      </c>
      <c r="I28" s="25" t="s">
        <v>41</v>
      </c>
      <c r="J28" s="13"/>
      <c r="K28" s="26">
        <f>IF(H28="",0,IF(J28&gt;0,0,IF(I28="A",H28,IF(I28="M",H28*12,IF(I28="W",H28*Lookups!D$9,IF(I28="B",H28*+Lookups!D$10,IF(I28="S",H28*2,IF(AND(H28=0,J28&gt;0),J28,"ERROR"))))))))</f>
        <v>4420</v>
      </c>
      <c r="L28" s="140">
        <f>IF(OR(AND(K28=0,D28=0),J28&gt;0),"",IF(AND(E28="W",I28="W"),ROUND(K28-(D28*Lookups!$C$9),0),ROUND(+K28-G28,0)))</f>
        <v>260</v>
      </c>
      <c r="M28" s="86" t="str">
        <f t="shared" si="0"/>
        <v>I</v>
      </c>
      <c r="N28" s="132"/>
      <c r="O28" s="63" t="s">
        <v>531</v>
      </c>
      <c r="P28" s="64" t="s">
        <v>532</v>
      </c>
      <c r="Q28" s="64" t="s">
        <v>395</v>
      </c>
      <c r="R28" s="65" t="s">
        <v>396</v>
      </c>
      <c r="S28" s="66">
        <v>53406</v>
      </c>
    </row>
    <row r="29" spans="1:20" ht="14.5" customHeight="1" x14ac:dyDescent="0.35">
      <c r="A29" s="144" t="s">
        <v>638</v>
      </c>
      <c r="B29" s="27" t="s">
        <v>27</v>
      </c>
      <c r="C29" s="4" t="s">
        <v>360</v>
      </c>
      <c r="D29" s="22"/>
      <c r="E29" s="25"/>
      <c r="F29" s="13"/>
      <c r="G29" s="26">
        <f>IF(D29="",0,IF(F29&gt;0,0,IF(E29="A",D29,IF(E29="M",D29*12,IF(E29="W",D29*Lookups!C$9,IF(E29="B",D29*+Lookups!C$10,IF(E29="S",D29*2,IF(AND(D29=0,F29&gt;0),F29,"ERROR"))))))))</f>
        <v>0</v>
      </c>
      <c r="H29" s="22"/>
      <c r="I29" s="25"/>
      <c r="J29" s="13"/>
      <c r="K29" s="26">
        <f>IF(H29="",0,IF(J29&gt;0,0,IF(I29="A",H29,IF(I29="M",H29*12,IF(I29="W",H29*Lookups!D$9,IF(I29="B",H29*+Lookups!D$10,IF(I29="S",H29*2,IF(AND(H29=0,J29&gt;0),J29,"ERROR"))))))))</f>
        <v>0</v>
      </c>
      <c r="L29" s="140" t="str">
        <f>IF(OR(AND(K29=0,D29=0),J29&gt;0),"",IF(AND(E29="W",I29="W"),ROUND(K29-(D29*Lookups!$C$9),0),ROUND(+K29-G29,0)))</f>
        <v/>
      </c>
      <c r="M29" s="86" t="str">
        <f t="shared" si="0"/>
        <v/>
      </c>
      <c r="N29" s="132"/>
    </row>
    <row r="30" spans="1:20" x14ac:dyDescent="0.35">
      <c r="B30" s="27" t="s">
        <v>67</v>
      </c>
      <c r="C30" s="4" t="s">
        <v>68</v>
      </c>
      <c r="D30" s="22">
        <v>100</v>
      </c>
      <c r="E30" s="25" t="s">
        <v>42</v>
      </c>
      <c r="F30" s="13"/>
      <c r="G30" s="26">
        <f>IF(D30="",0,IF(F30&gt;0,0,IF(E30="A",D30,IF(E30="M",D30*12,IF(E30="W",D30*Lookups!C$9,IF(E30="B",D30*+Lookups!C$10,IF(E30="S",D30*2,IF(AND(D30=0,F30&gt;0),F30,"ERROR"))))))))</f>
        <v>1200</v>
      </c>
      <c r="H30" s="22">
        <v>100</v>
      </c>
      <c r="I30" s="25" t="s">
        <v>42</v>
      </c>
      <c r="J30" s="13"/>
      <c r="K30" s="26">
        <f>IF(H30="",0,IF(J30&gt;0,0,IF(I30="A",H30,IF(I30="M",H30*12,IF(I30="W",H30*Lookups!D$9,IF(I30="B",H30*+Lookups!D$10,IF(I30="S",H30*2,IF(AND(H30=0,J30&gt;0),J30,"ERROR"))))))))</f>
        <v>1200</v>
      </c>
      <c r="L30" s="140">
        <f>IF(OR(AND(K30=0,D30=0),J30&gt;0),"",IF(AND(E30="W",I30="W"),ROUND(K30-(D30*Lookups!$C$9),0),ROUND(+K30-G30,0)))</f>
        <v>0</v>
      </c>
      <c r="M30" s="86" t="str">
        <f t="shared" si="0"/>
        <v>S</v>
      </c>
      <c r="N30" s="132"/>
      <c r="O30" s="63" t="s">
        <v>417</v>
      </c>
      <c r="P30" s="64" t="s">
        <v>418</v>
      </c>
      <c r="Q30" s="64" t="s">
        <v>419</v>
      </c>
      <c r="R30" s="65" t="s">
        <v>396</v>
      </c>
      <c r="S30" s="66">
        <v>53402</v>
      </c>
    </row>
    <row r="31" spans="1:20" x14ac:dyDescent="0.35">
      <c r="A31" s="144" t="s">
        <v>638</v>
      </c>
      <c r="B31" s="140" t="s">
        <v>30</v>
      </c>
      <c r="C31" s="81" t="s">
        <v>31</v>
      </c>
      <c r="D31" s="83"/>
      <c r="E31" s="85"/>
      <c r="F31" s="82"/>
      <c r="G31" s="26">
        <f>IF(D31="",0,IF(F31&gt;0,0,IF(E31="A",D31,IF(E31="M",D31*12,IF(E31="W",D31*Lookups!C$9,IF(E31="B",D31*+Lookups!C$10,IF(E31="S",D31*2,IF(AND(D31=0,F31&gt;0),F31,"ERROR"))))))))</f>
        <v>0</v>
      </c>
      <c r="H31" s="83"/>
      <c r="I31" s="85"/>
      <c r="J31" s="82"/>
      <c r="K31" s="26">
        <f>IF(H31="",0,IF(J31&gt;0,0,IF(I31="A",H31,IF(I31="M",H31*12,IF(I31="W",H31*Lookups!D$9,IF(I31="B",H31*+Lookups!D$10,IF(I31="S",H31*2,IF(AND(H31=0,J31&gt;0),J31,"ERROR"))))))))</f>
        <v>0</v>
      </c>
      <c r="L31" s="140" t="str">
        <f>IF(OR(AND(K31=0,D31=0),J31&gt;0),"",IF(AND(E31="W",I31="W"),ROUND(K31-(D31*Lookups!$C$9),0),ROUND(+K31-G31,0)))</f>
        <v/>
      </c>
      <c r="M31" s="86" t="str">
        <f t="shared" si="0"/>
        <v/>
      </c>
      <c r="N31" s="134" t="s">
        <v>656</v>
      </c>
      <c r="O31" s="87"/>
      <c r="P31" s="87"/>
      <c r="Q31" s="87"/>
      <c r="R31" s="88"/>
      <c r="S31" s="89"/>
      <c r="T31" s="64"/>
    </row>
    <row r="32" spans="1:20" x14ac:dyDescent="0.35">
      <c r="B32" s="27" t="s">
        <v>32</v>
      </c>
      <c r="C32" s="4" t="s">
        <v>33</v>
      </c>
      <c r="D32" s="22">
        <v>50</v>
      </c>
      <c r="E32" s="25" t="s">
        <v>42</v>
      </c>
      <c r="F32" s="13"/>
      <c r="G32" s="26">
        <f>IF(D32="",0,IF(F32&gt;0,0,IF(E32="A",D32,IF(E32="M",D32*12,IF(E32="W",D32*Lookups!C$9,IF(E32="B",D32*+Lookups!C$10,IF(E32="S",D32*2,IF(AND(D32=0,F32&gt;0),F32,"ERROR"))))))))</f>
        <v>600</v>
      </c>
      <c r="H32" s="22">
        <v>50</v>
      </c>
      <c r="I32" s="25" t="s">
        <v>42</v>
      </c>
      <c r="J32" s="13"/>
      <c r="K32" s="26">
        <f>IF(H32="",0,IF(J32&gt;0,0,IF(I32="A",H32,IF(I32="M",H32*12,IF(I32="W",H32*Lookups!D$9,IF(I32="B",H32*+Lookups!D$10,IF(I32="S",H32*2,IF(AND(H32=0,J32&gt;0),J32,"ERROR"))))))))</f>
        <v>600</v>
      </c>
      <c r="L32" s="140">
        <f>IF(OR(AND(K32=0,D32=0),J32&gt;0),"",IF(AND(E32="W",I32="W"),ROUND(K32-(D32*Lookups!$C$9),0),ROUND(+K32-G32,0)))</f>
        <v>0</v>
      </c>
      <c r="M32" s="86" t="str">
        <f t="shared" si="0"/>
        <v>S</v>
      </c>
      <c r="N32" s="132"/>
      <c r="O32" s="63" t="s">
        <v>420</v>
      </c>
      <c r="P32" s="64" t="s">
        <v>533</v>
      </c>
      <c r="Q32" s="64" t="s">
        <v>421</v>
      </c>
      <c r="R32" s="65" t="s">
        <v>396</v>
      </c>
      <c r="S32" s="66">
        <v>53182</v>
      </c>
    </row>
    <row r="33" spans="1:19" x14ac:dyDescent="0.35">
      <c r="B33" s="27" t="s">
        <v>32</v>
      </c>
      <c r="C33" s="4" t="s">
        <v>34</v>
      </c>
      <c r="D33" s="22">
        <v>25</v>
      </c>
      <c r="E33" s="25" t="s">
        <v>42</v>
      </c>
      <c r="F33" s="13"/>
      <c r="G33" s="26">
        <f>IF(D33="",0,IF(F33&gt;0,0,IF(E33="A",D33,IF(E33="M",D33*12,IF(E33="W",D33*Lookups!C$9,IF(E33="B",D33*+Lookups!C$10,IF(E33="S",D33*2,IF(AND(D33=0,F33&gt;0),F33,"ERROR"))))))))</f>
        <v>300</v>
      </c>
      <c r="H33" s="22">
        <v>25</v>
      </c>
      <c r="I33" s="25" t="s">
        <v>42</v>
      </c>
      <c r="J33" s="13"/>
      <c r="K33" s="26">
        <f>IF(H33="",0,IF(J33&gt;0,0,IF(I33="A",H33,IF(I33="M",H33*12,IF(I33="W",H33*Lookups!D$9,IF(I33="B",H33*+Lookups!D$10,IF(I33="S",H33*2,IF(AND(H33=0,J33&gt;0),J33,"ERROR"))))))))</f>
        <v>300</v>
      </c>
      <c r="L33" s="140">
        <f>IF(OR(AND(K33=0,D33=0),J33&gt;0),"",IF(AND(E33="W",I33="W"),ROUND(K33-(D33*Lookups!$C$9),0),ROUND(+K33-G33,0)))</f>
        <v>0</v>
      </c>
      <c r="M33" s="86" t="str">
        <f t="shared" si="0"/>
        <v>S</v>
      </c>
      <c r="N33" s="132"/>
      <c r="P33" s="64" t="s">
        <v>534</v>
      </c>
      <c r="Q33" s="64" t="s">
        <v>530</v>
      </c>
      <c r="R33" s="65" t="s">
        <v>396</v>
      </c>
      <c r="S33" s="66">
        <v>53144</v>
      </c>
    </row>
    <row r="34" spans="1:19" x14ac:dyDescent="0.35">
      <c r="B34" s="27" t="s">
        <v>511</v>
      </c>
      <c r="C34" s="4" t="s">
        <v>512</v>
      </c>
      <c r="D34" s="22">
        <v>200</v>
      </c>
      <c r="E34" s="25" t="s">
        <v>42</v>
      </c>
      <c r="F34" s="13"/>
      <c r="G34" s="26">
        <f>IF(D34="",0,IF(F34&gt;0,0,IF(E34="A",D34,IF(E34="M",D34*12,IF(E34="W",D34*Lookups!C$9,IF(E34="B",D34*+Lookups!C$10,IF(E34="S",D34*2,IF(AND(D34=0,F34&gt;0),F34,"ERROR"))))))))</f>
        <v>2400</v>
      </c>
      <c r="H34" s="22">
        <v>200</v>
      </c>
      <c r="I34" s="25" t="s">
        <v>42</v>
      </c>
      <c r="J34" s="13"/>
      <c r="K34" s="26">
        <f>IF(H34="",0,IF(J34&gt;0,0,IF(I34="A",H34,IF(I34="M",H34*12,IF(I34="W",H34*Lookups!D$9,IF(I34="B",H34*+Lookups!D$10,IF(I34="S",H34*2,IF(AND(H34=0,J34&gt;0),J34,"ERROR"))))))))</f>
        <v>2400</v>
      </c>
      <c r="L34" s="140">
        <f>IF(OR(AND(K34=0,D34=0),J34&gt;0),"",IF(AND(E34="W",I34="W"),ROUND(K34-(D34*Lookups!$C$9),0),ROUND(+K34-G34,0)))</f>
        <v>0</v>
      </c>
      <c r="M34" s="86" t="str">
        <f t="shared" si="0"/>
        <v>S</v>
      </c>
      <c r="N34" s="132"/>
      <c r="O34" s="63" t="s">
        <v>535</v>
      </c>
      <c r="P34" s="64" t="s">
        <v>536</v>
      </c>
      <c r="Q34" s="64" t="s">
        <v>537</v>
      </c>
      <c r="R34" s="65" t="s">
        <v>396</v>
      </c>
      <c r="S34" s="66">
        <v>53402</v>
      </c>
    </row>
    <row r="35" spans="1:19" x14ac:dyDescent="0.35">
      <c r="B35" s="24" t="s">
        <v>35</v>
      </c>
      <c r="C35" s="4" t="s">
        <v>36</v>
      </c>
      <c r="D35" s="22"/>
      <c r="E35" s="25"/>
      <c r="F35" s="13">
        <v>500</v>
      </c>
      <c r="G35" s="26">
        <f>IF(D35="",0,IF(F35&gt;0,0,IF(E35="A",D35,IF(E35="M",D35*12,IF(E35="W",D35*Lookups!C$9,IF(E35="B",D35*+Lookups!C$10,IF(E35="S",D35*2,IF(AND(D35=0,F35&gt;0),F35,"ERROR"))))))))</f>
        <v>0</v>
      </c>
      <c r="H35" s="22"/>
      <c r="I35" s="25"/>
      <c r="J35" s="13"/>
      <c r="K35" s="26">
        <f>IF(H35="",0,IF(J35&gt;0,0,IF(I35="A",H35,IF(I35="M",H35*12,IF(I35="W",H35*Lookups!D$9,IF(I35="B",H35*+Lookups!D$10,IF(I35="S",H35*2,IF(AND(H35=0,J35&gt;0),J35,"ERROR"))))))))</f>
        <v>0</v>
      </c>
      <c r="L35" s="140" t="str">
        <f>IF(OR(AND(K35=0,D35=0),J35&gt;0),"",IF(AND(E35="W",I35="W"),ROUND(K35-(D35*Lookups!$C$9),0),ROUND(+K35-G35,0)))</f>
        <v/>
      </c>
      <c r="M35" s="86" t="str">
        <f t="shared" si="0"/>
        <v/>
      </c>
      <c r="N35" s="132"/>
    </row>
    <row r="36" spans="1:19" x14ac:dyDescent="0.35">
      <c r="A36" s="144" t="s">
        <v>638</v>
      </c>
      <c r="B36" s="27" t="s">
        <v>361</v>
      </c>
      <c r="C36" s="4" t="s">
        <v>362</v>
      </c>
      <c r="D36" s="22"/>
      <c r="E36" s="25"/>
      <c r="F36" s="13"/>
      <c r="G36" s="26">
        <f>IF(D36="",0,IF(F36&gt;0,0,IF(E36="A",D36,IF(E36="M",D36*12,IF(E36="W",D36*Lookups!C$9,IF(E36="B",D36*+Lookups!C$10,IF(E36="S",D36*2,IF(AND(D36=0,F36&gt;0),F36,"ERROR"))))))))</f>
        <v>0</v>
      </c>
      <c r="H36" s="22"/>
      <c r="I36" s="25"/>
      <c r="J36" s="13"/>
      <c r="K36" s="26">
        <f>IF(H36="",0,IF(J36&gt;0,0,IF(I36="A",H36,IF(I36="M",H36*12,IF(I36="W",H36*Lookups!D$9,IF(I36="B",H36*+Lookups!D$10,IF(I36="S",H36*2,IF(AND(H36=0,J36&gt;0),J36,"ERROR"))))))))</f>
        <v>0</v>
      </c>
      <c r="L36" s="140" t="str">
        <f>IF(OR(AND(K36=0,D36=0),J36&gt;0),"",IF(AND(E36="W",I36="W"),ROUND(K36-(D36*Lookups!$C$9),0),ROUND(+K36-G36,0)))</f>
        <v/>
      </c>
      <c r="M36" s="86" t="str">
        <f t="shared" si="0"/>
        <v/>
      </c>
      <c r="N36" s="132"/>
    </row>
    <row r="37" spans="1:19" x14ac:dyDescent="0.35">
      <c r="B37" s="24" t="s">
        <v>244</v>
      </c>
      <c r="C37" s="4" t="s">
        <v>653</v>
      </c>
      <c r="D37" s="22">
        <v>125</v>
      </c>
      <c r="E37" s="25" t="s">
        <v>42</v>
      </c>
      <c r="F37" s="13"/>
      <c r="G37" s="26">
        <f>IF(D37="",0,IF(F37&gt;0,0,IF(E37="A",D37,IF(E37="M",D37*12,IF(E37="W",D37*Lookups!C$9,IF(E37="B",D37*+Lookups!C$10,IF(E37="S",D37*2,IF(AND(D37=0,F37&gt;0),F37,"ERROR"))))))))</f>
        <v>1500</v>
      </c>
      <c r="H37" s="22">
        <v>135</v>
      </c>
      <c r="I37" s="25" t="s">
        <v>42</v>
      </c>
      <c r="J37" s="13"/>
      <c r="K37" s="26">
        <f>IF(H37="",0,IF(J37&gt;0,0,IF(I37="A",H37,IF(I37="M",H37*12,IF(I37="W",H37*Lookups!D$9,IF(I37="B",H37*+Lookups!D$10,IF(I37="S",H37*2,IF(AND(H37=0,J37&gt;0),J37,"ERROR"))))))))</f>
        <v>1620</v>
      </c>
      <c r="L37" s="140">
        <f>IF(OR(AND(K37=0,D37=0),J37&gt;0),"",IF(AND(E37="W",I37="W"),ROUND(K37-(D37*Lookups!$C$9),0),ROUND(+K37-G37,0)))</f>
        <v>120</v>
      </c>
      <c r="M37" s="86" t="str">
        <f t="shared" si="0"/>
        <v>I</v>
      </c>
      <c r="N37" s="132"/>
      <c r="O37" s="63" t="s">
        <v>422</v>
      </c>
      <c r="P37" s="64" t="s">
        <v>423</v>
      </c>
      <c r="Q37" s="64" t="s">
        <v>419</v>
      </c>
      <c r="R37" s="65" t="s">
        <v>396</v>
      </c>
      <c r="S37" s="66">
        <v>53403</v>
      </c>
    </row>
    <row r="38" spans="1:19" x14ac:dyDescent="0.35">
      <c r="B38" s="27" t="s">
        <v>37</v>
      </c>
      <c r="C38" s="4" t="s">
        <v>520</v>
      </c>
      <c r="D38" s="22">
        <v>200</v>
      </c>
      <c r="E38" s="25" t="s">
        <v>42</v>
      </c>
      <c r="F38" s="13"/>
      <c r="G38" s="26">
        <f>IF(D38="",0,IF(F38&gt;0,0,IF(E38="A",D38,IF(E38="M",D38*12,IF(E38="W",D38*Lookups!C$9,IF(E38="B",D38*+Lookups!C$10,IF(E38="S",D38*2,IF(AND(D38=0,F38&gt;0),F38,"ERROR"))))))))</f>
        <v>2400</v>
      </c>
      <c r="H38" s="22">
        <v>200</v>
      </c>
      <c r="I38" s="25" t="s">
        <v>42</v>
      </c>
      <c r="J38" s="13"/>
      <c r="K38" s="26">
        <f>IF(H38="",0,IF(J38&gt;0,0,IF(I38="A",H38,IF(I38="M",H38*12,IF(I38="W",H38*Lookups!D$9,IF(I38="B",H38*+Lookups!D$10,IF(I38="S",H38*2,IF(AND(H38=0,J38&gt;0),J38,"ERROR"))))))))</f>
        <v>2400</v>
      </c>
      <c r="L38" s="140">
        <f>IF(OR(AND(K38=0,D38=0),J38&gt;0),"",IF(AND(E38="W",I38="W"),ROUND(K38-(D38*Lookups!$C$9),0),ROUND(+K38-G38,0)))</f>
        <v>0</v>
      </c>
      <c r="M38" s="86" t="str">
        <f t="shared" si="0"/>
        <v>S</v>
      </c>
      <c r="N38" s="132"/>
      <c r="O38" s="63" t="s">
        <v>538</v>
      </c>
      <c r="P38" s="64" t="s">
        <v>539</v>
      </c>
      <c r="Q38" s="64" t="s">
        <v>395</v>
      </c>
      <c r="R38" s="65" t="s">
        <v>396</v>
      </c>
      <c r="S38" s="66">
        <v>53403</v>
      </c>
    </row>
    <row r="39" spans="1:19" x14ac:dyDescent="0.35">
      <c r="B39" s="27" t="s">
        <v>245</v>
      </c>
      <c r="C39" s="4" t="s">
        <v>40</v>
      </c>
      <c r="D39" s="22">
        <v>55</v>
      </c>
      <c r="E39" s="25" t="s">
        <v>41</v>
      </c>
      <c r="F39" s="13"/>
      <c r="G39" s="26">
        <f>IF(D39="",0,IF(F39&gt;0,0,IF(E39="A",D39,IF(E39="M",D39*12,IF(E39="W",D39*Lookups!C$9,IF(E39="B",D39*+Lookups!C$10,IF(E39="S",D39*2,IF(AND(D39=0,F39&gt;0),F39,"ERROR"))))))))</f>
        <v>2860</v>
      </c>
      <c r="H39" s="22">
        <v>55</v>
      </c>
      <c r="I39" s="25" t="s">
        <v>41</v>
      </c>
      <c r="J39" s="13"/>
      <c r="K39" s="26">
        <f>IF(H39="",0,IF(J39&gt;0,0,IF(I39="A",H39,IF(I39="M",H39*12,IF(I39="W",H39*Lookups!D$9,IF(I39="B",H39*+Lookups!D$10,IF(I39="S",H39*2,IF(AND(H39=0,J39&gt;0),J39,"ERROR"))))))))</f>
        <v>2860</v>
      </c>
      <c r="L39" s="140">
        <f>IF(OR(AND(K39=0,D39=0),J39&gt;0),"",IF(AND(E39="W",I39="W"),ROUND(K39-(D39*Lookups!$C$9),0),ROUND(+K39-G39,0)))</f>
        <v>0</v>
      </c>
      <c r="M39" s="86" t="str">
        <f t="shared" si="0"/>
        <v>S</v>
      </c>
      <c r="N39" s="132"/>
      <c r="O39" s="63" t="s">
        <v>540</v>
      </c>
      <c r="P39" s="64" t="s">
        <v>541</v>
      </c>
      <c r="Q39" s="64" t="s">
        <v>395</v>
      </c>
      <c r="R39" s="65" t="s">
        <v>396</v>
      </c>
      <c r="S39" s="66">
        <v>53406</v>
      </c>
    </row>
    <row r="40" spans="1:19" x14ac:dyDescent="0.35">
      <c r="B40" s="27" t="s">
        <v>246</v>
      </c>
      <c r="C40" s="4" t="s">
        <v>247</v>
      </c>
      <c r="D40" s="22"/>
      <c r="E40" s="25"/>
      <c r="F40" s="13"/>
      <c r="G40" s="26">
        <f>IF(D40="",0,IF(F40&gt;0,0,IF(E40="A",D40,IF(E40="M",D40*12,IF(E40="W",D40*Lookups!C$9,IF(E40="B",D40*+Lookups!C$10,IF(E40="S",D40*2,IF(AND(D40=0,F40&gt;0),F40,"ERROR"))))))))</f>
        <v>0</v>
      </c>
      <c r="H40" s="22">
        <v>40</v>
      </c>
      <c r="I40" s="25" t="s">
        <v>42</v>
      </c>
      <c r="J40" s="13"/>
      <c r="K40" s="26">
        <f>IF(H40="",0,IF(J40&gt;0,0,IF(I40="A",H40,IF(I40="M",H40*12,IF(I40="W",H40*Lookups!D$9,IF(I40="B",H40*+Lookups!D$10,IF(I40="S",H40*2,IF(AND(H40=0,J40&gt;0),J40,"ERROR"))))))))</f>
        <v>480</v>
      </c>
      <c r="L40" s="140">
        <f>IF(OR(AND(K40=0,D40=0),J40&gt;0),"",IF(AND(E40="W",I40="W"),ROUND(K40-(D40*Lookups!$C$9),0),ROUND(+K40-G40,0)))</f>
        <v>480</v>
      </c>
      <c r="M40" s="86" t="str">
        <f t="shared" si="0"/>
        <v>N</v>
      </c>
      <c r="N40" s="132"/>
    </row>
    <row r="41" spans="1:19" x14ac:dyDescent="0.35">
      <c r="B41" s="27" t="s">
        <v>248</v>
      </c>
      <c r="C41" s="4" t="s">
        <v>249</v>
      </c>
      <c r="D41" s="22"/>
      <c r="E41" s="25"/>
      <c r="F41" s="13">
        <f>50*12</f>
        <v>600</v>
      </c>
      <c r="G41" s="26">
        <f>IF(D41="",0,IF(F41&gt;0,0,IF(E41="A",D41,IF(E41="M",D41*12,IF(E41="W",D41*Lookups!C$9,IF(E41="B",D41*+Lookups!C$10,IF(E41="S",D41*2,IF(AND(D41=0,F41&gt;0),F41,"ERROR"))))))))</f>
        <v>0</v>
      </c>
      <c r="H41" s="22"/>
      <c r="I41" s="25"/>
      <c r="J41" s="13"/>
      <c r="K41" s="26">
        <f>IF(H41="",0,IF(J41&gt;0,0,IF(I41="A",H41,IF(I41="M",H41*12,IF(I41="W",H41*Lookups!D$9,IF(I41="B",H41*+Lookups!D$10,IF(I41="S",H41*2,IF(AND(H41=0,J41&gt;0),J41,"ERROR"))))))))</f>
        <v>0</v>
      </c>
      <c r="L41" s="140" t="str">
        <f>IF(OR(AND(K41=0,D41=0),J41&gt;0),"",IF(AND(E41="W",I41="W"),ROUND(K41-(D41*Lookups!$C$9),0),ROUND(+K41-G41,0)))</f>
        <v/>
      </c>
      <c r="M41" s="86" t="str">
        <f t="shared" si="0"/>
        <v/>
      </c>
      <c r="N41" s="132"/>
    </row>
    <row r="42" spans="1:19" x14ac:dyDescent="0.35">
      <c r="B42" s="27" t="s">
        <v>363</v>
      </c>
      <c r="C42" s="4" t="s">
        <v>364</v>
      </c>
      <c r="D42" s="22"/>
      <c r="E42" s="25"/>
      <c r="F42" s="13">
        <f>16.6666666666667*12</f>
        <v>200.0000000000004</v>
      </c>
      <c r="G42" s="26">
        <f>IF(D42="",0,IF(F42&gt;0,0,IF(E42="A",D42,IF(E42="M",D42*12,IF(E42="W",D42*Lookups!C$9,IF(E42="B",D42*+Lookups!C$10,IF(E42="S",D42*2,IF(AND(D42=0,F42&gt;0),F42,"ERROR"))))))))</f>
        <v>0</v>
      </c>
      <c r="H42" s="22"/>
      <c r="I42" s="25"/>
      <c r="J42" s="13"/>
      <c r="K42" s="26">
        <f>IF(H42="",0,IF(J42&gt;0,0,IF(I42="A",H42,IF(I42="M",H42*12,IF(I42="W",H42*Lookups!D$9,IF(I42="B",H42*+Lookups!D$10,IF(I42="S",H42*2,IF(AND(H42=0,J42&gt;0),J42,"ERROR"))))))))</f>
        <v>0</v>
      </c>
      <c r="L42" s="140" t="str">
        <f>IF(OR(AND(K42=0,D42=0),J42&gt;0),"",IF(AND(E42="W",I42="W"),ROUND(K42-(D42*Lookups!$C$9),0),ROUND(+K42-G42,0)))</f>
        <v/>
      </c>
      <c r="M42" s="86" t="str">
        <f t="shared" si="0"/>
        <v/>
      </c>
      <c r="N42" s="132"/>
    </row>
    <row r="43" spans="1:19" x14ac:dyDescent="0.35">
      <c r="B43" s="24" t="s">
        <v>69</v>
      </c>
      <c r="C43" s="4" t="s">
        <v>70</v>
      </c>
      <c r="D43" s="22"/>
      <c r="E43" s="25"/>
      <c r="F43" s="13">
        <v>5000</v>
      </c>
      <c r="G43" s="26">
        <f>IF(D43="",0,IF(F43&gt;0,0,IF(E43="A",D43,IF(E43="M",D43*12,IF(E43="W",D43*Lookups!C$9,IF(E43="B",D43*+Lookups!C$10,IF(E43="S",D43*2,IF(AND(D43=0,F43&gt;0),F43,"ERROR"))))))))</f>
        <v>0</v>
      </c>
      <c r="H43" s="22">
        <v>5000</v>
      </c>
      <c r="I43" s="25" t="s">
        <v>38</v>
      </c>
      <c r="J43" s="13"/>
      <c r="K43" s="26">
        <f>IF(H43="",0,IF(J43&gt;0,0,IF(I43="A",H43,IF(I43="M",H43*12,IF(I43="W",H43*Lookups!D$9,IF(I43="B",H43*+Lookups!D$10,IF(I43="S",H43*2,IF(AND(H43=0,J43&gt;0),J43,"ERROR"))))))))</f>
        <v>5000</v>
      </c>
      <c r="L43" s="140">
        <f>IF(OR(AND(K43=0,D43=0),J43&gt;0),"",IF(AND(E43="W",I43="W"),ROUND(K43-(D43*Lookups!$C$9),0),ROUND(+K43-G43,0)))</f>
        <v>5000</v>
      </c>
      <c r="M43" s="86" t="str">
        <f t="shared" si="0"/>
        <v>N</v>
      </c>
      <c r="N43" s="132"/>
    </row>
    <row r="44" spans="1:19" x14ac:dyDescent="0.35">
      <c r="A44" s="144" t="s">
        <v>638</v>
      </c>
      <c r="B44" s="27" t="s">
        <v>365</v>
      </c>
      <c r="C44" s="4" t="s">
        <v>366</v>
      </c>
      <c r="D44" s="22"/>
      <c r="E44" s="25"/>
      <c r="F44" s="13"/>
      <c r="G44" s="26">
        <f>IF(D44="",0,IF(F44&gt;0,0,IF(E44="A",D44,IF(E44="M",D44*12,IF(E44="W",D44*Lookups!C$9,IF(E44="B",D44*+Lookups!C$10,IF(E44="S",D44*2,IF(AND(D44=0,F44&gt;0),F44,"ERROR"))))))))</f>
        <v>0</v>
      </c>
      <c r="H44" s="22"/>
      <c r="I44" s="25"/>
      <c r="J44" s="13"/>
      <c r="K44" s="26">
        <f>IF(H44="",0,IF(J44&gt;0,0,IF(I44="A",H44,IF(I44="M",H44*12,IF(I44="W",H44*Lookups!D$9,IF(I44="B",H44*+Lookups!D$10,IF(I44="S",H44*2,IF(AND(H44=0,J44&gt;0),J44,"ERROR"))))))))</f>
        <v>0</v>
      </c>
      <c r="L44" s="140" t="str">
        <f>IF(OR(AND(K44=0,D44=0),J44&gt;0),"",IF(AND(E44="W",I44="W"),ROUND(K44-(D44*Lookups!$C$9),0),ROUND(+K44-G44,0)))</f>
        <v/>
      </c>
      <c r="M44" s="86" t="str">
        <f t="shared" si="0"/>
        <v/>
      </c>
      <c r="N44" s="132"/>
    </row>
    <row r="45" spans="1:19" x14ac:dyDescent="0.35">
      <c r="B45" s="27" t="s">
        <v>250</v>
      </c>
      <c r="C45" s="4" t="s">
        <v>153</v>
      </c>
      <c r="D45" s="22">
        <v>5</v>
      </c>
      <c r="E45" s="25" t="s">
        <v>41</v>
      </c>
      <c r="F45" s="13"/>
      <c r="G45" s="26">
        <f>IF(D45="",0,IF(F45&gt;0,0,IF(E45="A",D45,IF(E45="M",D45*12,IF(E45="W",D45*Lookups!C$9,IF(E45="B",D45*+Lookups!C$10,IF(E45="S",D45*2,IF(AND(D45=0,F45&gt;0),F45,"ERROR"))))))))</f>
        <v>260</v>
      </c>
      <c r="H45" s="22">
        <v>10</v>
      </c>
      <c r="I45" s="25" t="s">
        <v>41</v>
      </c>
      <c r="J45" s="13"/>
      <c r="K45" s="26">
        <f>IF(H45="",0,IF(J45&gt;0,0,IF(I45="A",H45,IF(I45="M",H45*12,IF(I45="W",H45*Lookups!D$9,IF(I45="B",H45*+Lookups!D$10,IF(I45="S",H45*2,IF(AND(H45=0,J45&gt;0),J45,"ERROR"))))))))</f>
        <v>520</v>
      </c>
      <c r="L45" s="140">
        <f>IF(OR(AND(K45=0,D45=0),J45&gt;0),"",IF(AND(E45="W",I45="W"),ROUND(K45-(D45*Lookups!$C$9),0),ROUND(+K45-G45,0)))</f>
        <v>260</v>
      </c>
      <c r="M45" s="86" t="str">
        <f t="shared" si="0"/>
        <v>I</v>
      </c>
      <c r="N45" s="132"/>
      <c r="P45" s="64" t="s">
        <v>542</v>
      </c>
      <c r="Q45" s="64" t="s">
        <v>419</v>
      </c>
      <c r="R45" s="65" t="s">
        <v>396</v>
      </c>
      <c r="S45" s="66">
        <v>53406</v>
      </c>
    </row>
    <row r="46" spans="1:19" x14ac:dyDescent="0.35">
      <c r="B46" s="27" t="s">
        <v>71</v>
      </c>
      <c r="C46" s="4" t="s">
        <v>72</v>
      </c>
      <c r="D46" s="22">
        <v>150</v>
      </c>
      <c r="E46" s="25" t="s">
        <v>42</v>
      </c>
      <c r="F46" s="13"/>
      <c r="G46" s="26">
        <f>IF(D46="",0,IF(F46&gt;0,0,IF(E46="A",D46,IF(E46="M",D46*12,IF(E46="W",D46*Lookups!C$9,IF(E46="B",D46*+Lookups!C$10,IF(E46="S",D46*2,IF(AND(D46=0,F46&gt;0),F46,"ERROR"))))))))</f>
        <v>1800</v>
      </c>
      <c r="H46" s="22">
        <v>155</v>
      </c>
      <c r="I46" s="25" t="s">
        <v>42</v>
      </c>
      <c r="J46" s="13"/>
      <c r="K46" s="26">
        <f>IF(H46="",0,IF(J46&gt;0,0,IF(I46="A",H46,IF(I46="M",H46*12,IF(I46="W",H46*Lookups!D$9,IF(I46="B",H46*+Lookups!D$10,IF(I46="S",H46*2,IF(AND(H46=0,J46&gt;0),J46,"ERROR"))))))))</f>
        <v>1860</v>
      </c>
      <c r="L46" s="140">
        <f>IF(OR(AND(K46=0,D46=0),J46&gt;0),"",IF(AND(E46="W",I46="W"),ROUND(K46-(D46*Lookups!$C$9),0),ROUND(+K46-G46,0)))</f>
        <v>60</v>
      </c>
      <c r="M46" s="86" t="str">
        <f t="shared" si="0"/>
        <v>I</v>
      </c>
      <c r="N46" s="132"/>
      <c r="O46" s="63" t="s">
        <v>424</v>
      </c>
      <c r="P46" s="64" t="s">
        <v>425</v>
      </c>
      <c r="Q46" s="64" t="s">
        <v>395</v>
      </c>
      <c r="R46" s="65" t="s">
        <v>396</v>
      </c>
      <c r="S46" s="66" t="s">
        <v>546</v>
      </c>
    </row>
    <row r="47" spans="1:19" x14ac:dyDescent="0.35">
      <c r="B47" s="24" t="s">
        <v>73</v>
      </c>
      <c r="C47" s="4" t="s">
        <v>74</v>
      </c>
      <c r="D47" s="22">
        <v>25</v>
      </c>
      <c r="E47" s="25" t="s">
        <v>41</v>
      </c>
      <c r="F47" s="13"/>
      <c r="G47" s="26">
        <f>IF(D47="",0,IF(F47&gt;0,0,IF(E47="A",D47,IF(E47="M",D47*12,IF(E47="W",D47*Lookups!C$9,IF(E47="B",D47*+Lookups!C$10,IF(E47="S",D47*2,IF(AND(D47=0,F47&gt;0),F47,"ERROR"))))))))</f>
        <v>1300</v>
      </c>
      <c r="H47" s="22"/>
      <c r="I47" s="25"/>
      <c r="J47" s="13"/>
      <c r="K47" s="26">
        <f>IF(H47="",0,IF(J47&gt;0,0,IF(I47="A",H47,IF(I47="M",H47*12,IF(I47="W",H47*Lookups!D$9,IF(I47="B",H47*+Lookups!D$10,IF(I47="S",H47*2,IF(AND(H47=0,J47&gt;0),J47,"ERROR"))))))))</f>
        <v>0</v>
      </c>
      <c r="L47" s="140">
        <f>IF(OR(AND(K47=0,D47=0),J47&gt;0),"",IF(AND(E47="W",I47="W"),ROUND(K47-(D47*Lookups!$C$9),0),ROUND(+K47-G47,0)))</f>
        <v>-1300</v>
      </c>
      <c r="M47" s="86" t="str">
        <f t="shared" si="0"/>
        <v>D</v>
      </c>
      <c r="N47" s="132"/>
      <c r="P47" s="64" t="s">
        <v>642</v>
      </c>
      <c r="Q47" s="64" t="s">
        <v>419</v>
      </c>
      <c r="R47" s="65" t="s">
        <v>396</v>
      </c>
      <c r="S47" s="66">
        <v>53405</v>
      </c>
    </row>
    <row r="48" spans="1:19" x14ac:dyDescent="0.35">
      <c r="A48" s="144" t="s">
        <v>638</v>
      </c>
      <c r="B48" s="27" t="s">
        <v>251</v>
      </c>
      <c r="C48" s="4" t="s">
        <v>252</v>
      </c>
      <c r="D48" s="22"/>
      <c r="E48" s="25"/>
      <c r="F48" s="13"/>
      <c r="G48" s="26">
        <f>IF(D48="",0,IF(F48&gt;0,0,IF(E48="A",D48,IF(E48="M",D48*12,IF(E48="W",D48*Lookups!C$9,IF(E48="B",D48*+Lookups!C$10,IF(E48="S",D48*2,IF(AND(D48=0,F48&gt;0),F48,"ERROR"))))))))</f>
        <v>0</v>
      </c>
      <c r="H48" s="22"/>
      <c r="I48" s="25"/>
      <c r="J48" s="13"/>
      <c r="K48" s="26">
        <f>IF(H48="",0,IF(J48&gt;0,0,IF(I48="A",H48,IF(I48="M",H48*12,IF(I48="W",H48*Lookups!D$9,IF(I48="B",H48*+Lookups!D$10,IF(I48="S",H48*2,IF(AND(H48=0,J48&gt;0),J48,"ERROR"))))))))</f>
        <v>0</v>
      </c>
      <c r="L48" s="140" t="str">
        <f>IF(OR(AND(K48=0,D48=0),J48&gt;0),"",IF(AND(E48="W",I48="W"),ROUND(K48-(D48*Lookups!$C$9),0),ROUND(+K48-G48,0)))</f>
        <v/>
      </c>
      <c r="M48" s="86" t="str">
        <f t="shared" si="0"/>
        <v/>
      </c>
      <c r="N48" s="132"/>
    </row>
    <row r="49" spans="1:19" x14ac:dyDescent="0.35">
      <c r="B49" s="27" t="s">
        <v>75</v>
      </c>
      <c r="C49" s="4" t="s">
        <v>76</v>
      </c>
      <c r="D49" s="22">
        <v>50</v>
      </c>
      <c r="E49" s="25" t="s">
        <v>42</v>
      </c>
      <c r="F49" s="13"/>
      <c r="G49" s="26">
        <f>IF(D49="",0,IF(F49&gt;0,0,IF(E49="A",D49,IF(E49="M",D49*12,IF(E49="W",D49*Lookups!C$9,IF(E49="B",D49*+Lookups!C$10,IF(E49="S",D49*2,IF(AND(D49=0,F49&gt;0),F49,"ERROR"))))))))</f>
        <v>600</v>
      </c>
      <c r="H49" s="22"/>
      <c r="I49" s="25"/>
      <c r="J49" s="13"/>
      <c r="K49" s="26">
        <f>IF(H49="",0,IF(J49&gt;0,0,IF(I49="A",H49,IF(I49="M",H49*12,IF(I49="W",H49*Lookups!D$9,IF(I49="B",H49*+Lookups!D$10,IF(I49="S",H49*2,IF(AND(H49=0,J49&gt;0),J49,"ERROR"))))))))</f>
        <v>0</v>
      </c>
      <c r="L49" s="140">
        <f>IF(OR(AND(K49=0,D49=0),J49&gt;0),"",IF(AND(E49="W",I49="W"),ROUND(K49-(D49*Lookups!$C$9),0),ROUND(+K49-G49,0)))</f>
        <v>-600</v>
      </c>
      <c r="M49" s="86" t="str">
        <f t="shared" si="0"/>
        <v>D</v>
      </c>
      <c r="N49" s="132"/>
      <c r="O49" s="63" t="s">
        <v>543</v>
      </c>
      <c r="P49" s="64" t="s">
        <v>544</v>
      </c>
      <c r="Q49" s="64" t="s">
        <v>419</v>
      </c>
      <c r="R49" s="65" t="s">
        <v>396</v>
      </c>
      <c r="S49" s="66">
        <v>53404</v>
      </c>
    </row>
    <row r="50" spans="1:19" x14ac:dyDescent="0.35">
      <c r="B50" s="27" t="s">
        <v>426</v>
      </c>
      <c r="C50" s="4" t="s">
        <v>77</v>
      </c>
      <c r="D50" s="22"/>
      <c r="E50" s="25"/>
      <c r="F50" s="13">
        <v>3300</v>
      </c>
      <c r="G50" s="26">
        <f>IF(D50="",0,IF(F50&gt;0,0,IF(E50="A",D50,IF(E50="M",D50*12,IF(E50="W",D50*Lookups!C$9,IF(E50="B",D50*+Lookups!C$10,IF(E50="S",D50*2,IF(AND(D50=0,F50&gt;0),F50,"ERROR"))))))))</f>
        <v>0</v>
      </c>
      <c r="H50" s="22"/>
      <c r="I50" s="25"/>
      <c r="J50" s="13"/>
      <c r="K50" s="26">
        <f>IF(H50="",0,IF(J50&gt;0,0,IF(I50="A",H50,IF(I50="M",H50*12,IF(I50="W",H50*Lookups!D$9,IF(I50="B",H50*+Lookups!D$10,IF(I50="S",H50*2,IF(AND(H50=0,J50&gt;0),J50,"ERROR"))))))))</f>
        <v>0</v>
      </c>
      <c r="L50" s="140" t="str">
        <f>IF(OR(AND(K50=0,D50=0),J50&gt;0),"",IF(AND(E50="W",I50="W"),ROUND(K50-(D50*Lookups!$C$9),0),ROUND(+K50-G50,0)))</f>
        <v/>
      </c>
      <c r="M50" s="86" t="str">
        <f t="shared" si="0"/>
        <v/>
      </c>
      <c r="N50" s="132"/>
      <c r="P50" s="64" t="s">
        <v>427</v>
      </c>
      <c r="Q50" s="64" t="s">
        <v>395</v>
      </c>
      <c r="R50" s="65" t="s">
        <v>396</v>
      </c>
      <c r="S50" s="66">
        <v>53406</v>
      </c>
    </row>
    <row r="51" spans="1:19" x14ac:dyDescent="0.35">
      <c r="A51" s="144" t="s">
        <v>638</v>
      </c>
      <c r="B51" s="27" t="s">
        <v>78</v>
      </c>
      <c r="C51" s="4" t="s">
        <v>79</v>
      </c>
      <c r="D51" s="22"/>
      <c r="E51" s="25"/>
      <c r="F51" s="25"/>
      <c r="G51" s="26">
        <f>IF(D51="",0,IF(F51&gt;0,0,IF(E51="A",D51,IF(E51="M",D51*12,IF(E51="W",D51*Lookups!C$9,IF(E51="B",D51*+Lookups!C$10,IF(E51="S",D51*2,IF(AND(D51=0,F51&gt;0),F51,"ERROR"))))))))</f>
        <v>0</v>
      </c>
      <c r="H51" s="22"/>
      <c r="I51" s="25"/>
      <c r="J51" s="25"/>
      <c r="K51" s="26">
        <f>IF(H51="",0,IF(J51&gt;0,0,IF(I51="A",H51,IF(I51="M",H51*12,IF(I51="W",H51*Lookups!D$9,IF(I51="B",H51*+Lookups!D$10,IF(I51="S",H51*2,IF(AND(H51=0,J51&gt;0),J51,"ERROR"))))))))</f>
        <v>0</v>
      </c>
      <c r="L51" s="140" t="str">
        <f>IF(OR(AND(K51=0,D51=0),J51&gt;0),"",IF(AND(E51="W",I51="W"),ROUND(K51-(D51*Lookups!$C$9),0),ROUND(+K51-G51,0)))</f>
        <v/>
      </c>
      <c r="M51" s="86" t="str">
        <f t="shared" si="0"/>
        <v/>
      </c>
      <c r="N51" s="132"/>
    </row>
    <row r="52" spans="1:19" x14ac:dyDescent="0.35">
      <c r="A52" s="144" t="s">
        <v>638</v>
      </c>
      <c r="B52" s="24" t="s">
        <v>80</v>
      </c>
      <c r="C52" s="4" t="s">
        <v>81</v>
      </c>
      <c r="D52" s="22">
        <v>125</v>
      </c>
      <c r="E52" s="25" t="s">
        <v>41</v>
      </c>
      <c r="F52" s="13"/>
      <c r="G52" s="26">
        <f>IF(D52="",0,IF(F52&gt;0,0,IF(E52="A",D52,IF(E52="M",D52*12,IF(E52="W",D52*Lookups!C$9,IF(E52="B",D52*+Lookups!C$10,IF(E52="S",D52*2,IF(AND(D52=0,F52&gt;0),F52,"ERROR"))))))))</f>
        <v>6500</v>
      </c>
      <c r="H52" s="22"/>
      <c r="I52" s="25"/>
      <c r="J52" s="13"/>
      <c r="K52" s="26">
        <f>IF(H52="",0,IF(J52&gt;0,0,IF(I52="A",H52,IF(I52="M",H52*12,IF(I52="W",H52*Lookups!D$9,IF(I52="B",H52*+Lookups!D$10,IF(I52="S",H52*2,IF(AND(H52=0,J52&gt;0),J52,"ERROR"))))))))</f>
        <v>0</v>
      </c>
      <c r="L52" s="140">
        <f>IF(OR(AND(K52=0,D52=0),J52&gt;0),"",IF(AND(E52="W",I52="W"),ROUND(K52-(D52*Lookups!$C$9),0),ROUND(+K52-G52,0)))</f>
        <v>-6500</v>
      </c>
      <c r="M52" s="86" t="str">
        <f t="shared" si="0"/>
        <v>D</v>
      </c>
      <c r="N52" s="132"/>
      <c r="P52" s="64" t="s">
        <v>643</v>
      </c>
      <c r="Q52" s="64" t="s">
        <v>419</v>
      </c>
      <c r="R52" s="65" t="s">
        <v>396</v>
      </c>
      <c r="S52" s="66">
        <v>53405</v>
      </c>
    </row>
    <row r="53" spans="1:19" x14ac:dyDescent="0.35">
      <c r="B53" s="27" t="s">
        <v>82</v>
      </c>
      <c r="C53" s="4" t="s">
        <v>83</v>
      </c>
      <c r="D53" s="22">
        <v>20</v>
      </c>
      <c r="E53" s="25" t="s">
        <v>42</v>
      </c>
      <c r="F53" s="13"/>
      <c r="G53" s="26">
        <f>IF(D53="",0,IF(F53&gt;0,0,IF(E53="A",D53,IF(E53="M",D53*12,IF(E53="W",D53*Lookups!C$9,IF(E53="B",D53*+Lookups!C$10,IF(E53="S",D53*2,IF(AND(D53=0,F53&gt;0),F53,"ERROR"))))))))</f>
        <v>240</v>
      </c>
      <c r="H53" s="22">
        <v>30</v>
      </c>
      <c r="I53" s="25" t="s">
        <v>42</v>
      </c>
      <c r="J53" s="13"/>
      <c r="K53" s="26">
        <f>IF(H53="",0,IF(J53&gt;0,0,IF(I53="A",H53,IF(I53="M",H53*12,IF(I53="W",H53*Lookups!D$9,IF(I53="B",H53*+Lookups!D$10,IF(I53="S",H53*2,IF(AND(H53=0,J53&gt;0),J53,"ERROR"))))))))</f>
        <v>360</v>
      </c>
      <c r="L53" s="140">
        <f>IF(OR(AND(K53=0,D53=0),J53&gt;0),"",IF(AND(E53="W",I53="W"),ROUND(K53-(D53*Lookups!$C$9),0),ROUND(+K53-G53,0)))</f>
        <v>120</v>
      </c>
      <c r="M53" s="86" t="str">
        <f t="shared" si="0"/>
        <v>I</v>
      </c>
      <c r="N53" s="132"/>
      <c r="P53" s="64" t="s">
        <v>545</v>
      </c>
      <c r="Q53" s="64" t="s">
        <v>419</v>
      </c>
      <c r="R53" s="65" t="s">
        <v>396</v>
      </c>
      <c r="S53" s="66">
        <v>53405</v>
      </c>
    </row>
    <row r="54" spans="1:19" x14ac:dyDescent="0.35">
      <c r="A54" s="144" t="s">
        <v>638</v>
      </c>
      <c r="B54" s="27" t="s">
        <v>84</v>
      </c>
      <c r="C54" s="4" t="s">
        <v>85</v>
      </c>
      <c r="D54" s="22"/>
      <c r="E54" s="25"/>
      <c r="F54" s="13"/>
      <c r="G54" s="26">
        <f>IF(D54="",0,IF(F54&gt;0,0,IF(E54="A",D54,IF(E54="M",D54*12,IF(E54="W",D54*Lookups!C$9,IF(E54="B",D54*+Lookups!C$10,IF(E54="S",D54*2,IF(AND(D54=0,F54&gt;0),F54,"ERROR"))))))))</f>
        <v>0</v>
      </c>
      <c r="H54" s="22"/>
      <c r="I54" s="25"/>
      <c r="J54" s="13"/>
      <c r="K54" s="26">
        <f>IF(H54="",0,IF(J54&gt;0,0,IF(I54="A",H54,IF(I54="M",H54*12,IF(I54="W",H54*Lookups!D$9,IF(I54="B",H54*+Lookups!D$10,IF(I54="S",H54*2,IF(AND(H54=0,J54&gt;0),J54,"ERROR"))))))))</f>
        <v>0</v>
      </c>
      <c r="L54" s="140" t="str">
        <f>IF(OR(AND(K54=0,D54=0),J54&gt;0),"",IF(AND(E54="W",I54="W"),ROUND(K54-(D54*Lookups!$C$9),0),ROUND(+K54-G54,0)))</f>
        <v/>
      </c>
      <c r="M54" s="86" t="str">
        <f t="shared" si="0"/>
        <v/>
      </c>
      <c r="N54" s="132"/>
    </row>
    <row r="55" spans="1:19" x14ac:dyDescent="0.35">
      <c r="B55" s="27" t="s">
        <v>86</v>
      </c>
      <c r="C55" s="4" t="s">
        <v>87</v>
      </c>
      <c r="D55" s="22">
        <v>300</v>
      </c>
      <c r="E55" s="25" t="s">
        <v>42</v>
      </c>
      <c r="F55" s="13"/>
      <c r="G55" s="26">
        <f>IF(D55="",0,IF(F55&gt;0,0,IF(E55="A",D55,IF(E55="M",D55*12,IF(E55="W",D55*Lookups!C$9,IF(E55="B",D55*+Lookups!C$10,IF(E55="S",D55*2,IF(AND(D55=0,F55&gt;0),F55,"ERROR"))))))))</f>
        <v>3600</v>
      </c>
      <c r="H55" s="22">
        <v>300</v>
      </c>
      <c r="I55" s="25" t="s">
        <v>42</v>
      </c>
      <c r="J55" s="13"/>
      <c r="K55" s="26">
        <f>IF(H55="",0,IF(J55&gt;0,0,IF(I55="A",H55,IF(I55="M",H55*12,IF(I55="W",H55*Lookups!D$9,IF(I55="B",H55*+Lookups!D$10,IF(I55="S",H55*2,IF(AND(H55=0,J55&gt;0),J55,"ERROR"))))))))</f>
        <v>3600</v>
      </c>
      <c r="L55" s="140">
        <f>IF(OR(AND(K55=0,D55=0),J55&gt;0),"",IF(AND(E55="W",I55="W"),ROUND(K55-(D55*Lookups!$C$9),0),ROUND(+K55-G55,0)))</f>
        <v>0</v>
      </c>
      <c r="M55" s="86" t="str">
        <f t="shared" si="0"/>
        <v>S</v>
      </c>
      <c r="N55" s="132"/>
      <c r="O55" s="63" t="s">
        <v>428</v>
      </c>
      <c r="P55" s="64" t="s">
        <v>429</v>
      </c>
      <c r="Q55" s="64" t="s">
        <v>395</v>
      </c>
      <c r="R55" s="65" t="s">
        <v>396</v>
      </c>
      <c r="S55" s="66" t="s">
        <v>430</v>
      </c>
    </row>
    <row r="56" spans="1:19" x14ac:dyDescent="0.35">
      <c r="B56" s="27" t="s">
        <v>88</v>
      </c>
      <c r="C56" s="4" t="s">
        <v>89</v>
      </c>
      <c r="D56" s="22">
        <v>200</v>
      </c>
      <c r="E56" s="25" t="s">
        <v>42</v>
      </c>
      <c r="F56" s="13"/>
      <c r="G56" s="26">
        <f>IF(D56="",0,IF(F56&gt;0,0,IF(E56="A",D56,IF(E56="M",D56*12,IF(E56="W",D56*Lookups!C$9,IF(E56="B",D56*+Lookups!C$10,IF(E56="S",D56*2,IF(AND(D56=0,F56&gt;0),F56,"ERROR"))))))))</f>
        <v>2400</v>
      </c>
      <c r="H56" s="22">
        <v>225</v>
      </c>
      <c r="I56" s="25" t="s">
        <v>42</v>
      </c>
      <c r="J56" s="13"/>
      <c r="K56" s="26">
        <f>IF(H56="",0,IF(J56&gt;0,0,IF(I56="A",H56,IF(I56="M",H56*12,IF(I56="W",H56*Lookups!D$9,IF(I56="B",H56*+Lookups!D$10,IF(I56="S",H56*2,IF(AND(H56=0,J56&gt;0),J56,"ERROR"))))))))</f>
        <v>2700</v>
      </c>
      <c r="L56" s="140">
        <f>IF(OR(AND(K56=0,D56=0),J56&gt;0),"",IF(AND(E56="W",I56="W"),ROUND(K56-(D56*Lookups!$C$9),0),ROUND(+K56-G56,0)))</f>
        <v>300</v>
      </c>
      <c r="M56" s="86" t="str">
        <f t="shared" si="0"/>
        <v>I</v>
      </c>
      <c r="N56" s="132"/>
      <c r="P56" s="64" t="s">
        <v>431</v>
      </c>
      <c r="Q56" s="64" t="s">
        <v>419</v>
      </c>
      <c r="R56" s="65" t="s">
        <v>396</v>
      </c>
      <c r="S56" s="66" t="s">
        <v>432</v>
      </c>
    </row>
    <row r="57" spans="1:19" x14ac:dyDescent="0.35">
      <c r="A57" s="144" t="s">
        <v>638</v>
      </c>
      <c r="B57" s="27" t="s">
        <v>88</v>
      </c>
      <c r="C57" s="4" t="s">
        <v>253</v>
      </c>
      <c r="D57" s="22"/>
      <c r="E57" s="25"/>
      <c r="F57" s="13"/>
      <c r="G57" s="26">
        <f>IF(D57="",0,IF(F57&gt;0,0,IF(E57="A",D57,IF(E57="M",D57*12,IF(E57="W",D57*Lookups!C$9,IF(E57="B",D57*+Lookups!C$10,IF(E57="S",D57*2,IF(AND(D57=0,F57&gt;0),F57,"ERROR"))))))))</f>
        <v>0</v>
      </c>
      <c r="H57" s="22"/>
      <c r="I57" s="25"/>
      <c r="J57" s="13"/>
      <c r="K57" s="26">
        <f>IF(H57="",0,IF(J57&gt;0,0,IF(I57="A",H57,IF(I57="M",H57*12,IF(I57="W",H57*Lookups!D$9,IF(I57="B",H57*+Lookups!D$10,IF(I57="S",H57*2,IF(AND(H57=0,J57&gt;0),J57,"ERROR"))))))))</f>
        <v>0</v>
      </c>
      <c r="L57" s="140" t="str">
        <f>IF(OR(AND(K57=0,D57=0),J57&gt;0),"",IF(AND(E57="W",I57="W"),ROUND(K57-(D57*Lookups!$C$9),0),ROUND(+K57-G57,0)))</f>
        <v/>
      </c>
      <c r="M57" s="86" t="str">
        <f t="shared" si="0"/>
        <v/>
      </c>
      <c r="N57" s="132"/>
    </row>
    <row r="58" spans="1:19" x14ac:dyDescent="0.35">
      <c r="B58" s="24" t="s">
        <v>90</v>
      </c>
      <c r="C58" s="4" t="s">
        <v>91</v>
      </c>
      <c r="D58" s="22"/>
      <c r="E58" s="25"/>
      <c r="F58" s="13"/>
      <c r="G58" s="26">
        <f>IF(D58="",0,IF(F58&gt;0,0,IF(E58="A",D58,IF(E58="M",D58*12,IF(E58="W",D58*Lookups!C$9,IF(E58="B",D58*+Lookups!C$10,IF(E58="S",D58*2,IF(AND(D58=0,F58&gt;0),F58,"ERROR"))))))))</f>
        <v>0</v>
      </c>
      <c r="H58" s="22">
        <v>50</v>
      </c>
      <c r="I58" s="25" t="s">
        <v>41</v>
      </c>
      <c r="J58" s="13"/>
      <c r="K58" s="26">
        <f>IF(H58="",0,IF(J58&gt;0,0,IF(I58="A",H58,IF(I58="M",H58*12,IF(I58="W",H58*Lookups!D$9,IF(I58="B",H58*+Lookups!D$10,IF(I58="S",H58*2,IF(AND(H58=0,J58&gt;0),J58,"ERROR"))))))))</f>
        <v>2600</v>
      </c>
      <c r="L58" s="140">
        <f>IF(OR(AND(K58=0,D58=0),J58&gt;0),"",IF(AND(E58="W",I58="W"),ROUND(K58-(D58*Lookups!$C$9),0),ROUND(+K58-G58,0)))</f>
        <v>2600</v>
      </c>
      <c r="M58" s="86" t="str">
        <f t="shared" si="0"/>
        <v>N</v>
      </c>
      <c r="N58" s="132"/>
    </row>
    <row r="59" spans="1:19" x14ac:dyDescent="0.35">
      <c r="B59" s="27" t="s">
        <v>92</v>
      </c>
      <c r="C59" s="4" t="s">
        <v>93</v>
      </c>
      <c r="D59" s="22">
        <v>40</v>
      </c>
      <c r="E59" s="25" t="s">
        <v>41</v>
      </c>
      <c r="F59" s="13"/>
      <c r="G59" s="26">
        <f>IF(D59="",0,IF(F59&gt;0,0,IF(E59="A",D59,IF(E59="M",D59*12,IF(E59="W",D59*Lookups!C$9,IF(E59="B",D59*+Lookups!C$10,IF(E59="S",D59*2,IF(AND(D59=0,F59&gt;0),F59,"ERROR"))))))))</f>
        <v>2080</v>
      </c>
      <c r="H59" s="22"/>
      <c r="I59" s="25"/>
      <c r="J59" s="13"/>
      <c r="K59" s="26">
        <f>IF(H59="",0,IF(J59&gt;0,0,IF(I59="A",H59,IF(I59="M",H59*12,IF(I59="W",H59*Lookups!D$9,IF(I59="B",H59*+Lookups!D$10,IF(I59="S",H59*2,IF(AND(H59=0,J59&gt;0),J59,"ERROR"))))))))</f>
        <v>0</v>
      </c>
      <c r="L59" s="140">
        <f>IF(OR(AND(K59=0,D59=0),J59&gt;0),"",IF(AND(E59="W",I59="W"),ROUND(K59-(D59*Lookups!$C$9),0),ROUND(+K59-G59,0)))</f>
        <v>-2080</v>
      </c>
      <c r="M59" s="86" t="str">
        <f t="shared" si="0"/>
        <v>D</v>
      </c>
      <c r="N59" s="132"/>
      <c r="P59" s="64" t="s">
        <v>433</v>
      </c>
      <c r="Q59" s="64" t="s">
        <v>395</v>
      </c>
      <c r="R59" s="65" t="s">
        <v>396</v>
      </c>
      <c r="S59" s="66">
        <v>53406</v>
      </c>
    </row>
    <row r="60" spans="1:19" x14ac:dyDescent="0.35">
      <c r="B60" s="27" t="s">
        <v>94</v>
      </c>
      <c r="C60" s="4" t="s">
        <v>521</v>
      </c>
      <c r="D60" s="22">
        <v>5000</v>
      </c>
      <c r="E60" s="25" t="s">
        <v>38</v>
      </c>
      <c r="F60" s="13"/>
      <c r="G60" s="26">
        <f>IF(D60="",0,IF(F60&gt;0,0,IF(E60="A",D60,IF(E60="M",D60*12,IF(E60="W",D60*Lookups!C$9,IF(E60="B",D60*+Lookups!C$10,IF(E60="S",D60*2,IF(AND(D60=0,F60&gt;0),F60,"ERROR"))))))))</f>
        <v>5000</v>
      </c>
      <c r="H60" s="22">
        <v>6000</v>
      </c>
      <c r="I60" s="25" t="s">
        <v>38</v>
      </c>
      <c r="J60" s="13"/>
      <c r="K60" s="26">
        <f>IF(H60="",0,IF(J60&gt;0,0,IF(I60="A",H60,IF(I60="M",H60*12,IF(I60="W",H60*Lookups!D$9,IF(I60="B",H60*+Lookups!D$10,IF(I60="S",H60*2,IF(AND(H60=0,J60&gt;0),J60,"ERROR"))))))))</f>
        <v>6000</v>
      </c>
      <c r="L60" s="140">
        <f>IF(OR(AND(K60=0,D60=0),J60&gt;0),"",IF(AND(E60="W",I60="W"),ROUND(K60-(D60*Lookups!$C$9),0),ROUND(+K60-G60,0)))</f>
        <v>1000</v>
      </c>
      <c r="M60" s="86" t="str">
        <f t="shared" si="0"/>
        <v>I</v>
      </c>
      <c r="N60" s="132"/>
      <c r="O60" s="63" t="s">
        <v>434</v>
      </c>
      <c r="P60" s="64" t="s">
        <v>435</v>
      </c>
      <c r="Q60" s="64" t="s">
        <v>419</v>
      </c>
      <c r="R60" s="65" t="s">
        <v>396</v>
      </c>
      <c r="S60" s="66">
        <v>53402</v>
      </c>
    </row>
    <row r="61" spans="1:19" x14ac:dyDescent="0.35">
      <c r="B61" s="27" t="s">
        <v>95</v>
      </c>
      <c r="C61" s="4" t="s">
        <v>96</v>
      </c>
      <c r="D61" s="22">
        <v>5</v>
      </c>
      <c r="E61" s="25" t="s">
        <v>41</v>
      </c>
      <c r="F61" s="13"/>
      <c r="G61" s="26">
        <f>IF(D61="",0,IF(F61&gt;0,0,IF(E61="A",D61,IF(E61="M",D61*12,IF(E61="W",D61*Lookups!C$9,IF(E61="B",D61*+Lookups!C$10,IF(E61="S",D61*2,IF(AND(D61=0,F61&gt;0),F61,"ERROR"))))))))</f>
        <v>260</v>
      </c>
      <c r="H61" s="22">
        <v>5</v>
      </c>
      <c r="I61" s="25" t="s">
        <v>41</v>
      </c>
      <c r="J61" s="13"/>
      <c r="K61" s="26">
        <f>IF(H61="",0,IF(J61&gt;0,0,IF(I61="A",H61,IF(I61="M",H61*12,IF(I61="W",H61*Lookups!D$9,IF(I61="B",H61*+Lookups!D$10,IF(I61="S",H61*2,IF(AND(H61=0,J61&gt;0),J61,"ERROR"))))))))</f>
        <v>260</v>
      </c>
      <c r="L61" s="140">
        <f>IF(OR(AND(K61=0,D61=0),J61&gt;0),"",IF(AND(E61="W",I61="W"),ROUND(K61-(D61*Lookups!$C$9),0),ROUND(+K61-G61,0)))</f>
        <v>0</v>
      </c>
      <c r="M61" s="86" t="str">
        <f t="shared" si="0"/>
        <v>S</v>
      </c>
      <c r="N61" s="132"/>
      <c r="O61" s="63" t="s">
        <v>436</v>
      </c>
      <c r="P61" s="64" t="s">
        <v>437</v>
      </c>
      <c r="Q61" s="64" t="s">
        <v>419</v>
      </c>
      <c r="R61" s="65" t="s">
        <v>396</v>
      </c>
      <c r="S61" s="66">
        <v>53402</v>
      </c>
    </row>
    <row r="62" spans="1:19" x14ac:dyDescent="0.35">
      <c r="B62" s="27" t="s">
        <v>254</v>
      </c>
      <c r="C62" s="4" t="s">
        <v>255</v>
      </c>
      <c r="D62" s="22"/>
      <c r="E62" s="25"/>
      <c r="F62" s="13"/>
      <c r="G62" s="26">
        <f>IF(D62="",0,IF(F62&gt;0,0,IF(E62="A",D62,IF(E62="M",D62*12,IF(E62="W",D62*Lookups!C$9,IF(E62="B",D62*+Lookups!C$10,IF(E62="S",D62*2,IF(AND(D62=0,F62&gt;0),F62,"ERROR"))))))))</f>
        <v>0</v>
      </c>
      <c r="H62" s="22"/>
      <c r="I62" s="25"/>
      <c r="J62" s="13"/>
      <c r="K62" s="26">
        <f>IF(H62="",0,IF(J62&gt;0,0,IF(I62="A",H62,IF(I62="M",H62*12,IF(I62="W",H62*Lookups!D$9,IF(I62="B",H62*+Lookups!D$10,IF(I62="S",H62*2,IF(AND(H62=0,J62&gt;0),J62,"ERROR"))))))))</f>
        <v>0</v>
      </c>
      <c r="L62" s="140" t="str">
        <f>IF(OR(AND(K62=0,D62=0),J62&gt;0),"",IF(AND(E62="W",I62="W"),ROUND(K62-(D62*Lookups!$C$9),0),ROUND(+K62-G62,0)))</f>
        <v/>
      </c>
      <c r="M62" s="86" t="str">
        <f t="shared" si="0"/>
        <v/>
      </c>
      <c r="N62" s="132"/>
    </row>
    <row r="63" spans="1:19" x14ac:dyDescent="0.35">
      <c r="B63" s="24" t="s">
        <v>97</v>
      </c>
      <c r="C63" s="4" t="s">
        <v>360</v>
      </c>
      <c r="D63" s="22">
        <v>300</v>
      </c>
      <c r="E63" s="25" t="s">
        <v>42</v>
      </c>
      <c r="F63" s="13"/>
      <c r="G63" s="26">
        <f>IF(D63="",0,IF(F63&gt;0,0,IF(E63="A",D63,IF(E63="M",D63*12,IF(E63="W",D63*Lookups!C$9,IF(E63="B",D63*+Lookups!C$10,IF(E63="S",D63*2,IF(AND(D63=0,F63&gt;0),F63,"ERROR"))))))))</f>
        <v>3600</v>
      </c>
      <c r="H63" s="22">
        <v>200</v>
      </c>
      <c r="I63" s="25" t="s">
        <v>42</v>
      </c>
      <c r="J63" s="13"/>
      <c r="K63" s="26">
        <f>IF(H63="",0,IF(J63&gt;0,0,IF(I63="A",H63,IF(I63="M",H63*12,IF(I63="W",H63*Lookups!D$9,IF(I63="B",H63*+Lookups!D$10,IF(I63="S",H63*2,IF(AND(H63=0,J63&gt;0),J63,"ERROR"))))))))</f>
        <v>2400</v>
      </c>
      <c r="L63" s="140">
        <f>IF(OR(AND(K63=0,D63=0),J63&gt;0),"",IF(AND(E63="W",I63="W"),ROUND(K63-(D63*Lookups!$C$9),0),ROUND(+K63-G63,0)))</f>
        <v>-1200</v>
      </c>
      <c r="M63" s="86" t="str">
        <f t="shared" si="0"/>
        <v>D</v>
      </c>
      <c r="N63" s="132"/>
    </row>
    <row r="64" spans="1:19" x14ac:dyDescent="0.35">
      <c r="B64" s="27" t="s">
        <v>256</v>
      </c>
      <c r="C64" s="4" t="s">
        <v>257</v>
      </c>
      <c r="D64" s="22"/>
      <c r="E64" s="25"/>
      <c r="F64" s="13">
        <f>25*12</f>
        <v>300</v>
      </c>
      <c r="G64" s="26">
        <f>IF(D64="",0,IF(F64&gt;0,0,IF(E64="A",D64,IF(E64="M",D64*12,IF(E64="W",D64*Lookups!C$9,IF(E64="B",D64*+Lookups!C$10,IF(E64="S",D64*2,IF(AND(D64=0,F64&gt;0),F64,"ERROR"))))))))</f>
        <v>0</v>
      </c>
      <c r="H64" s="22"/>
      <c r="I64" s="25"/>
      <c r="J64" s="13"/>
      <c r="K64" s="26">
        <f>IF(H64="",0,IF(J64&gt;0,0,IF(I64="A",H64,IF(I64="M",H64*12,IF(I64="W",H64*Lookups!D$9,IF(I64="B",H64*+Lookups!D$10,IF(I64="S",H64*2,IF(AND(H64=0,J64&gt;0),J64,"ERROR"))))))))</f>
        <v>0</v>
      </c>
      <c r="L64" s="140" t="str">
        <f>IF(OR(AND(K64=0,D64=0),J64&gt;0),"",IF(AND(E64="W",I64="W"),ROUND(K64-(D64*Lookups!$C$9),0),ROUND(+K64-G64,0)))</f>
        <v/>
      </c>
      <c r="M64" s="86" t="str">
        <f t="shared" si="0"/>
        <v/>
      </c>
      <c r="N64" s="132"/>
    </row>
    <row r="65" spans="1:19" ht="14" customHeight="1" x14ac:dyDescent="0.35">
      <c r="A65" s="144" t="s">
        <v>638</v>
      </c>
      <c r="B65" s="27" t="s">
        <v>258</v>
      </c>
      <c r="C65" s="4" t="s">
        <v>259</v>
      </c>
      <c r="D65" s="22"/>
      <c r="E65" s="25"/>
      <c r="F65" s="13"/>
      <c r="G65" s="26">
        <f>IF(D65="",0,IF(F65&gt;0,0,IF(E65="A",D65,IF(E65="M",D65*12,IF(E65="W",D65*Lookups!C$9,IF(E65="B",D65*+Lookups!C$10,IF(E65="S",D65*2,IF(AND(D65=0,F65&gt;0),F65,"ERROR"))))))))</f>
        <v>0</v>
      </c>
      <c r="H65" s="22"/>
      <c r="I65" s="25"/>
      <c r="J65" s="13"/>
      <c r="K65" s="26">
        <f>IF(H65="",0,IF(J65&gt;0,0,IF(I65="A",H65,IF(I65="M",H65*12,IF(I65="W",H65*Lookups!D$9,IF(I65="B",H65*+Lookups!D$10,IF(I65="S",H65*2,IF(AND(H65=0,J65&gt;0),J65,"ERROR"))))))))</f>
        <v>0</v>
      </c>
      <c r="L65" s="140" t="str">
        <f>IF(OR(AND(K65=0,D65=0),J65&gt;0),"",IF(AND(E65="W",I65="W"),ROUND(K65-(D65*Lookups!$C$9),0),ROUND(+K65-G65,0)))</f>
        <v/>
      </c>
      <c r="M65" s="86" t="str">
        <f t="shared" si="0"/>
        <v/>
      </c>
      <c r="N65" s="132"/>
    </row>
    <row r="66" spans="1:19" ht="14" customHeight="1" x14ac:dyDescent="0.35">
      <c r="B66" s="27" t="s">
        <v>622</v>
      </c>
      <c r="C66" s="4" t="s">
        <v>623</v>
      </c>
      <c r="D66" s="22"/>
      <c r="E66" s="25"/>
      <c r="F66" s="13"/>
      <c r="G66" s="26">
        <f>IF(D66="",0,IF(F66&gt;0,0,IF(E66="A",D66,IF(E66="M",D66*12,IF(E66="W",D66*Lookups!C$9,IF(E66="B",D66*+Lookups!C$10,IF(E66="S",D66*2,IF(AND(D66=0,F66&gt;0),F66,"ERROR"))))))))</f>
        <v>0</v>
      </c>
      <c r="H66" s="22"/>
      <c r="I66" s="25"/>
      <c r="J66" s="13"/>
      <c r="K66" s="26">
        <f>IF(H66="",0,IF(J66&gt;0,0,IF(I66="A",H66,IF(I66="M",H66*12,IF(I66="W",H66*Lookups!D$9,IF(I66="B",H66*+Lookups!D$10,IF(I66="S",H66*2,IF(AND(H66=0,J66&gt;0),J66,"ERROR"))))))))</f>
        <v>0</v>
      </c>
      <c r="L66" s="140" t="str">
        <f>IF(OR(AND(K66=0,D66=0),J66&gt;0),"",IF(AND(E66="W",I66="W"),ROUND(K66-(D66*Lookups!$C$9),0),ROUND(+K66-G66,0)))</f>
        <v/>
      </c>
      <c r="M66" s="86" t="str">
        <f t="shared" si="0"/>
        <v/>
      </c>
      <c r="N66" s="132"/>
    </row>
    <row r="67" spans="1:19" x14ac:dyDescent="0.35">
      <c r="B67" s="27" t="s">
        <v>367</v>
      </c>
      <c r="C67" s="4" t="s">
        <v>368</v>
      </c>
      <c r="D67" s="22">
        <v>1000</v>
      </c>
      <c r="E67" s="25" t="s">
        <v>38</v>
      </c>
      <c r="F67" s="13"/>
      <c r="G67" s="26">
        <f>IF(D67="",0,IF(F67&gt;0,0,IF(E67="A",D67,IF(E67="M",D67*12,IF(E67="W",D67*Lookups!C$9,IF(E67="B",D67*+Lookups!C$10,IF(E67="S",D67*2,IF(AND(D67=0,F67&gt;0),F67,"ERROR"))))))))</f>
        <v>1000</v>
      </c>
      <c r="H67" s="22"/>
      <c r="I67" s="25"/>
      <c r="J67" s="13"/>
      <c r="K67" s="26">
        <f>IF(H67="",0,IF(J67&gt;0,0,IF(I67="A",H67,IF(I67="M",H67*12,IF(I67="W",H67*Lookups!D$9,IF(I67="B",H67*+Lookups!D$10,IF(I67="S",H67*2,IF(AND(H67=0,J67&gt;0),J67,"ERROR"))))))))</f>
        <v>0</v>
      </c>
      <c r="L67" s="140">
        <f>IF(OR(AND(K67=0,D67=0),J67&gt;0),"",IF(AND(E67="W",I67="W"),ROUND(K67-(D67*Lookups!$C$9),0),ROUND(+K67-G67,0)))</f>
        <v>-1000</v>
      </c>
      <c r="M67" s="86" t="str">
        <f t="shared" si="0"/>
        <v>D</v>
      </c>
      <c r="N67" s="132"/>
    </row>
    <row r="68" spans="1:19" x14ac:dyDescent="0.35">
      <c r="B68" s="27" t="s">
        <v>98</v>
      </c>
      <c r="C68" s="4" t="s">
        <v>99</v>
      </c>
      <c r="D68" s="22">
        <v>600</v>
      </c>
      <c r="E68" s="25" t="s">
        <v>42</v>
      </c>
      <c r="F68" s="13"/>
      <c r="G68" s="26">
        <f>IF(D68="",0,IF(F68&gt;0,0,IF(E68="A",D68,IF(E68="M",D68*12,IF(E68="W",D68*Lookups!C$9,IF(E68="B",D68*+Lookups!C$10,IF(E68="S",D68*2,IF(AND(D68=0,F68&gt;0),F68,"ERROR"))))))))</f>
        <v>7200</v>
      </c>
      <c r="H68" s="22">
        <v>850</v>
      </c>
      <c r="I68" s="25" t="s">
        <v>42</v>
      </c>
      <c r="J68" s="13"/>
      <c r="K68" s="26">
        <f>IF(H68="",0,IF(J68&gt;0,0,IF(I68="A",H68,IF(I68="M",H68*12,IF(I68="W",H68*Lookups!D$9,IF(I68="B",H68*+Lookups!D$10,IF(I68="S",H68*2,IF(AND(H68=0,J68&gt;0),J68,"ERROR"))))))))</f>
        <v>10200</v>
      </c>
      <c r="L68" s="140">
        <f>IF(OR(AND(K68=0,D68=0),J68&gt;0),"",IF(AND(E68="W",I68="W"),ROUND(K68-(D68*Lookups!$C$9),0),ROUND(+K68-G68,0)))</f>
        <v>3000</v>
      </c>
      <c r="M68" s="86" t="str">
        <f t="shared" si="0"/>
        <v>I</v>
      </c>
      <c r="N68" s="132"/>
      <c r="O68" s="63" t="s">
        <v>547</v>
      </c>
      <c r="P68" s="64" t="s">
        <v>548</v>
      </c>
      <c r="Q68" s="64" t="s">
        <v>419</v>
      </c>
      <c r="R68" s="65" t="s">
        <v>396</v>
      </c>
      <c r="S68" s="66">
        <v>53406</v>
      </c>
    </row>
    <row r="69" spans="1:19" x14ac:dyDescent="0.35">
      <c r="B69" s="24" t="s">
        <v>100</v>
      </c>
      <c r="C69" s="4" t="s">
        <v>101</v>
      </c>
      <c r="D69" s="22"/>
      <c r="E69" s="25"/>
      <c r="F69" s="13">
        <f>+(108.333333333333)*12</f>
        <v>1299.9999999999959</v>
      </c>
      <c r="G69" s="26">
        <f>IF(D69="",0,IF(F69&gt;0,0,IF(E69="A",D69,IF(E69="M",D69*12,IF(E69="W",D69*Lookups!C$9,IF(E69="B",D69*+Lookups!C$10,IF(E69="S",D69*2,IF(AND(D69=0,F69&gt;0),F69,"ERROR"))))))))</f>
        <v>0</v>
      </c>
      <c r="H69" s="22"/>
      <c r="I69" s="25"/>
      <c r="J69" s="13"/>
      <c r="K69" s="26">
        <f>IF(H69="",0,IF(J69&gt;0,0,IF(I69="A",H69,IF(I69="M",H69*12,IF(I69="W",H69*Lookups!D$9,IF(I69="B",H69*+Lookups!D$10,IF(I69="S",H69*2,IF(AND(H69=0,J69&gt;0),J69,"ERROR"))))))))</f>
        <v>0</v>
      </c>
      <c r="L69" s="140" t="str">
        <f>IF(OR(AND(K69=0,D69=0),J69&gt;0),"",IF(AND(E69="W",I69="W"),ROUND(K69-(D69*Lookups!$C$9),0),ROUND(+K69-G69,0)))</f>
        <v/>
      </c>
      <c r="M69" s="86" t="str">
        <f t="shared" ref="M69:M138" si="1">IF(J69&gt;0,"E",IF(L69="","",IF(L69=0,"S",IF(AND(L69&gt;0,NOT(D69=0)),"I",IF(AND(L69&gt;0,D69=0),"N",IF(L69&lt;0,"D","ERROR"))))))</f>
        <v/>
      </c>
      <c r="N69" s="132"/>
      <c r="O69" s="63" t="s">
        <v>438</v>
      </c>
      <c r="P69" s="64" t="s">
        <v>439</v>
      </c>
      <c r="Q69" s="64" t="s">
        <v>419</v>
      </c>
      <c r="R69" s="65" t="s">
        <v>396</v>
      </c>
      <c r="S69" s="66">
        <v>53403</v>
      </c>
    </row>
    <row r="70" spans="1:19" x14ac:dyDescent="0.35">
      <c r="B70" s="24" t="s">
        <v>625</v>
      </c>
      <c r="C70" s="4" t="s">
        <v>626</v>
      </c>
      <c r="D70" s="22"/>
      <c r="E70" s="25"/>
      <c r="F70" s="13">
        <v>600</v>
      </c>
      <c r="G70" s="26">
        <f>IF(D70="",0,IF(F70&gt;0,0,IF(E70="A",D70,IF(E70="M",D70*12,IF(E70="W",D70*Lookups!C$9,IF(E70="B",D70*+Lookups!C$10,IF(E70="S",D70*2,IF(AND(D70=0,F70&gt;0),F70,"ERROR"))))))))</f>
        <v>0</v>
      </c>
      <c r="H70" s="22"/>
      <c r="I70" s="25"/>
      <c r="J70" s="13"/>
      <c r="K70" s="26">
        <f>IF(H70="",0,IF(J70&gt;0,0,IF(I70="A",H70,IF(I70="M",H70*12,IF(I70="W",H70*Lookups!D$9,IF(I70="B",H70*+Lookups!D$10,IF(I70="S",H70*2,IF(AND(H70=0,J70&gt;0),J70,"ERROR"))))))))</f>
        <v>0</v>
      </c>
      <c r="L70" s="140" t="str">
        <f>IF(OR(AND(K70=0,D70=0),J70&gt;0),"",IF(AND(E70="W",I70="W"),ROUND(K70-(D70*Lookups!$C$9),0),ROUND(+K70-G70,0)))</f>
        <v/>
      </c>
      <c r="M70" s="86" t="str">
        <f t="shared" si="1"/>
        <v/>
      </c>
      <c r="N70" s="132"/>
      <c r="O70" s="63" t="s">
        <v>438</v>
      </c>
      <c r="P70" s="64" t="s">
        <v>624</v>
      </c>
      <c r="Q70" s="64" t="s">
        <v>419</v>
      </c>
      <c r="R70" s="65" t="s">
        <v>396</v>
      </c>
      <c r="S70" s="66">
        <v>53404</v>
      </c>
    </row>
    <row r="71" spans="1:19" ht="29" x14ac:dyDescent="0.35">
      <c r="B71" s="27" t="s">
        <v>102</v>
      </c>
      <c r="C71" s="4" t="s">
        <v>103</v>
      </c>
      <c r="D71" s="22">
        <v>250</v>
      </c>
      <c r="E71" s="25" t="s">
        <v>42</v>
      </c>
      <c r="F71" s="13"/>
      <c r="G71" s="26">
        <f>IF(D71="",0,IF(F71&gt;0,0,IF(E71="A",D71,IF(E71="M",D71*12,IF(E71="W",D71*Lookups!C$9,IF(E71="B",D71*+Lookups!C$10,IF(E71="S",D71*2,IF(AND(D71=0,F71&gt;0),F71,"ERROR"))))))))</f>
        <v>3000</v>
      </c>
      <c r="H71" s="22">
        <v>250</v>
      </c>
      <c r="I71" s="25" t="s">
        <v>42</v>
      </c>
      <c r="J71" s="13"/>
      <c r="K71" s="26">
        <f>IF(H71="",0,IF(J71&gt;0,0,IF(I71="A",H71,IF(I71="M",H71*12,IF(I71="W",H71*Lookups!D$9,IF(I71="B",H71*+Lookups!D$10,IF(I71="S",H71*2,IF(AND(H71=0,J71&gt;0),J71,"ERROR"))))))))</f>
        <v>3000</v>
      </c>
      <c r="L71" s="140">
        <f>IF(OR(AND(K71=0,D71=0),J71&gt;0),"",IF(AND(E71="W",I71="W"),ROUND(K71-(D71*Lookups!$C$9),0),ROUND(+K71-G71,0)))</f>
        <v>0</v>
      </c>
      <c r="M71" s="86" t="str">
        <f t="shared" si="1"/>
        <v>S</v>
      </c>
      <c r="N71" s="132"/>
      <c r="O71" s="129" t="s">
        <v>549</v>
      </c>
      <c r="P71" s="64" t="s">
        <v>442</v>
      </c>
      <c r="Q71" s="64" t="s">
        <v>395</v>
      </c>
      <c r="R71" s="65" t="s">
        <v>396</v>
      </c>
      <c r="S71" s="66">
        <v>53406</v>
      </c>
    </row>
    <row r="72" spans="1:19" x14ac:dyDescent="0.35">
      <c r="B72" s="27" t="s">
        <v>104</v>
      </c>
      <c r="C72" s="4" t="s">
        <v>443</v>
      </c>
      <c r="D72" s="22">
        <v>2000</v>
      </c>
      <c r="E72" s="25" t="s">
        <v>38</v>
      </c>
      <c r="F72" s="13"/>
      <c r="G72" s="26">
        <f>IF(D72="",0,IF(F72&gt;0,0,IF(E72="A",D72,IF(E72="M",D72*12,IF(E72="W",D72*Lookups!C$9,IF(E72="B",D72*+Lookups!C$10,IF(E72="S",D72*2,IF(AND(D72=0,F72&gt;0),F72,"ERROR"))))))))</f>
        <v>2000</v>
      </c>
      <c r="H72" s="22">
        <v>2000</v>
      </c>
      <c r="I72" s="25" t="s">
        <v>38</v>
      </c>
      <c r="J72" s="13"/>
      <c r="K72" s="26">
        <f>IF(H72="",0,IF(J72&gt;0,0,IF(I72="A",H72,IF(I72="M",H72*12,IF(I72="W",H72*Lookups!D$9,IF(I72="B",H72*+Lookups!D$10,IF(I72="S",H72*2,IF(AND(H72=0,J72&gt;0),J72,"ERROR"))))))))</f>
        <v>2000</v>
      </c>
      <c r="L72" s="140">
        <f>IF(OR(AND(K72=0,D72=0),J72&gt;0),"",IF(AND(E72="W",I72="W"),ROUND(K72-(D72*Lookups!$C$9),0),ROUND(+K72-G72,0)))</f>
        <v>0</v>
      </c>
      <c r="M72" s="86" t="str">
        <f t="shared" si="1"/>
        <v>S</v>
      </c>
      <c r="N72" s="137" t="s">
        <v>558</v>
      </c>
      <c r="O72" s="63" t="s">
        <v>444</v>
      </c>
      <c r="P72" s="64" t="s">
        <v>445</v>
      </c>
      <c r="Q72" s="64" t="s">
        <v>395</v>
      </c>
      <c r="R72" s="65" t="s">
        <v>396</v>
      </c>
      <c r="S72" s="66">
        <v>53406</v>
      </c>
    </row>
    <row r="73" spans="1:19" x14ac:dyDescent="0.35">
      <c r="B73" s="27" t="s">
        <v>106</v>
      </c>
      <c r="C73" s="4" t="s">
        <v>107</v>
      </c>
      <c r="D73" s="22">
        <v>16</v>
      </c>
      <c r="E73" s="25" t="s">
        <v>41</v>
      </c>
      <c r="F73" s="13"/>
      <c r="G73" s="26">
        <f>IF(D73="",0,IF(F73&gt;0,0,IF(E73="A",D73,IF(E73="M",D73*12,IF(E73="W",D73*Lookups!C$9,IF(E73="B",D73*+Lookups!C$10,IF(E73="S",D73*2,IF(AND(D73=0,F73&gt;0),F73,"ERROR"))))))))</f>
        <v>832</v>
      </c>
      <c r="H73" s="22">
        <v>18</v>
      </c>
      <c r="I73" s="25" t="s">
        <v>41</v>
      </c>
      <c r="J73" s="13"/>
      <c r="K73" s="26">
        <f>IF(H73="",0,IF(J73&gt;0,0,IF(I73="A",H73,IF(I73="M",H73*12,IF(I73="W",H73*Lookups!D$9,IF(I73="B",H73*+Lookups!D$10,IF(I73="S",H73*2,IF(AND(H73=0,J73&gt;0),J73,"ERROR"))))))))</f>
        <v>936</v>
      </c>
      <c r="L73" s="140">
        <f>IF(OR(AND(K73=0,D73=0),J73&gt;0),"",IF(AND(E73="W",I73="W"),ROUND(K73-(D73*Lookups!$C$9),0),ROUND(+K73-G73,0)))</f>
        <v>104</v>
      </c>
      <c r="M73" s="86" t="str">
        <f t="shared" si="1"/>
        <v>I</v>
      </c>
      <c r="N73" s="132"/>
      <c r="O73" s="63" t="s">
        <v>550</v>
      </c>
      <c r="P73" s="64" t="s">
        <v>551</v>
      </c>
      <c r="Q73" s="64" t="s">
        <v>419</v>
      </c>
      <c r="R73" s="65" t="s">
        <v>396</v>
      </c>
      <c r="S73" s="66">
        <v>53406</v>
      </c>
    </row>
    <row r="74" spans="1:19" x14ac:dyDescent="0.35">
      <c r="B74" s="27" t="s">
        <v>108</v>
      </c>
      <c r="C74" s="4" t="s">
        <v>109</v>
      </c>
      <c r="D74" s="22">
        <v>90</v>
      </c>
      <c r="E74" s="25" t="s">
        <v>41</v>
      </c>
      <c r="F74" s="13"/>
      <c r="G74" s="26">
        <f>IF(D74="",0,IF(F74&gt;0,0,IF(E74="A",D74,IF(E74="M",D74*12,IF(E74="W",D74*Lookups!C$9,IF(E74="B",D74*+Lookups!C$10,IF(E74="S",D74*2,IF(AND(D74=0,F74&gt;0),F74,"ERROR"))))))))</f>
        <v>4680</v>
      </c>
      <c r="H74" s="22">
        <v>95</v>
      </c>
      <c r="I74" s="25" t="s">
        <v>41</v>
      </c>
      <c r="J74" s="13"/>
      <c r="K74" s="26">
        <f>IF(H74="",0,IF(J74&gt;0,0,IF(I74="A",H74,IF(I74="M",H74*12,IF(I74="W",H74*Lookups!D$9,IF(I74="B",H74*+Lookups!D$10,IF(I74="S",H74*2,IF(AND(H74=0,J74&gt;0),J74,"ERROR"))))))))</f>
        <v>4940</v>
      </c>
      <c r="L74" s="140">
        <f>IF(OR(AND(K74=0,D74=0),J74&gt;0),"",IF(AND(E74="W",I74="W"),ROUND(K74-(D74*Lookups!$C$9),0),ROUND(+K74-G74,0)))</f>
        <v>260</v>
      </c>
      <c r="M74" s="86" t="str">
        <f t="shared" si="1"/>
        <v>I</v>
      </c>
      <c r="N74" s="137" t="s">
        <v>556</v>
      </c>
      <c r="P74" s="64" t="s">
        <v>552</v>
      </c>
      <c r="Q74" s="64" t="s">
        <v>419</v>
      </c>
      <c r="R74" s="65" t="s">
        <v>396</v>
      </c>
      <c r="S74" s="66">
        <v>53404</v>
      </c>
    </row>
    <row r="75" spans="1:19" x14ac:dyDescent="0.35">
      <c r="B75" s="27" t="s">
        <v>627</v>
      </c>
      <c r="C75" s="4" t="s">
        <v>325</v>
      </c>
      <c r="D75" s="22"/>
      <c r="E75" s="25"/>
      <c r="F75" s="13">
        <v>500</v>
      </c>
      <c r="G75" s="26">
        <f>IF(D75="",0,IF(F75&gt;0,0,IF(E75="A",D75,IF(E75="M",D75*12,IF(E75="W",D75*Lookups!C$9,IF(E75="B",D75*+Lookups!C$10,IF(E75="S",D75*2,IF(AND(D75=0,F75&gt;0),F75,"ERROR"))))))))</f>
        <v>0</v>
      </c>
      <c r="H75" s="22"/>
      <c r="I75" s="25"/>
      <c r="J75" s="13"/>
      <c r="K75" s="26">
        <f>IF(H75="",0,IF(J75&gt;0,0,IF(I75="A",H75,IF(I75="M",H75*12,IF(I75="W",H75*Lookups!D$9,IF(I75="B",H75*+Lookups!D$10,IF(I75="S",H75*2,IF(AND(H75=0,J75&gt;0),J75,"ERROR"))))))))</f>
        <v>0</v>
      </c>
      <c r="L75" s="140" t="str">
        <f>IF(OR(AND(K75=0,D75=0),J75&gt;0),"",IF(AND(E75="W",I75="W"),ROUND(K75-(D75*Lookups!$C$9),0),ROUND(+K75-G75,0)))</f>
        <v/>
      </c>
      <c r="M75" s="86" t="str">
        <f t="shared" si="1"/>
        <v/>
      </c>
      <c r="N75" s="137"/>
    </row>
    <row r="76" spans="1:19" x14ac:dyDescent="0.35">
      <c r="A76" s="144" t="s">
        <v>638</v>
      </c>
      <c r="B76" s="119" t="s">
        <v>260</v>
      </c>
      <c r="C76" s="120" t="s">
        <v>261</v>
      </c>
      <c r="D76" s="122"/>
      <c r="E76" s="124"/>
      <c r="F76" s="121"/>
      <c r="G76" s="123">
        <f>IF(D76="",0,IF(F76&gt;0,0,IF(E76="A",D76,IF(E76="M",D76*12,IF(E76="W",D76*Lookups!C$9,IF(E76="B",D76*+Lookups!C$10,IF(E76="S",D76*2,IF(AND(D76=0,F76&gt;0),F76,"ERROR"))))))))</f>
        <v>0</v>
      </c>
      <c r="H76" s="122"/>
      <c r="I76" s="124"/>
      <c r="J76" s="121"/>
      <c r="K76" s="123">
        <f>IF(H76="",0,IF(J76&gt;0,0,IF(I76="A",H76,IF(I76="M",H76*12,IF(I76="W",H76*Lookups!D$9,IF(I76="B",H76*+Lookups!D$10,IF(I76="S",H76*2,IF(AND(H76=0,J76&gt;0),J76,"ERROR"))))))))</f>
        <v>0</v>
      </c>
      <c r="L76" s="96" t="str">
        <f>IF(OR(AND(K76=0,D76=0),J76&gt;0),"",IF(AND(E76="W",I76="W"),ROUND(K76-(D76*Lookups!$C$9),0),ROUND(+K76-G76,0)))</f>
        <v/>
      </c>
      <c r="M76" s="97" t="str">
        <f t="shared" si="1"/>
        <v/>
      </c>
      <c r="N76" s="133"/>
      <c r="O76" s="125" t="s">
        <v>504</v>
      </c>
      <c r="P76" s="125"/>
      <c r="Q76" s="125"/>
      <c r="R76" s="126"/>
      <c r="S76" s="127"/>
    </row>
    <row r="77" spans="1:19" x14ac:dyDescent="0.35">
      <c r="A77" s="144" t="s">
        <v>638</v>
      </c>
      <c r="B77" s="27" t="s">
        <v>262</v>
      </c>
      <c r="C77" s="4" t="s">
        <v>153</v>
      </c>
      <c r="D77" s="22"/>
      <c r="E77" s="25"/>
      <c r="F77" s="13"/>
      <c r="G77" s="26">
        <f>IF(D77="",0,IF(F77&gt;0,0,IF(E77="A",D77,IF(E77="M",D77*12,IF(E77="W",D77*Lookups!C$9,IF(E77="B",D77*+Lookups!C$10,IF(E77="S",D77*2,IF(AND(D77=0,F77&gt;0),F77,"ERROR"))))))))</f>
        <v>0</v>
      </c>
      <c r="H77" s="22"/>
      <c r="I77" s="25"/>
      <c r="J77" s="13"/>
      <c r="K77" s="26">
        <f>IF(H77="",0,IF(J77&gt;0,0,IF(I77="A",H77,IF(I77="M",H77*12,IF(I77="W",H77*Lookups!D$9,IF(I77="B",H77*+Lookups!D$10,IF(I77="S",H77*2,IF(AND(H77=0,J77&gt;0),J77,"ERROR"))))))))</f>
        <v>0</v>
      </c>
      <c r="L77" s="140" t="str">
        <f>IF(OR(AND(K77=0,D77=0),J77&gt;0),"",IF(AND(E77="W",I77="W"),ROUND(K77-(D77*Lookups!$C$9),0),ROUND(+K77-G77,0)))</f>
        <v/>
      </c>
      <c r="M77" s="86" t="str">
        <f t="shared" si="1"/>
        <v/>
      </c>
      <c r="N77" s="132"/>
    </row>
    <row r="78" spans="1:19" x14ac:dyDescent="0.35">
      <c r="B78" s="27" t="s">
        <v>110</v>
      </c>
      <c r="C78" s="4" t="s">
        <v>62</v>
      </c>
      <c r="D78" s="22"/>
      <c r="E78" s="25"/>
      <c r="F78" s="13">
        <v>400</v>
      </c>
      <c r="G78" s="26">
        <f>IF(D78="",0,IF(F78&gt;0,0,IF(E78="A",D78,IF(E78="M",D78*12,IF(E78="W",D78*Lookups!C$9,IF(E78="B",D78*+Lookups!C$10,IF(E78="S",D78*2,IF(AND(D78=0,F78&gt;0),F78,"ERROR"))))))))</f>
        <v>0</v>
      </c>
      <c r="H78" s="22"/>
      <c r="I78" s="25"/>
      <c r="J78" s="13"/>
      <c r="K78" s="26">
        <f>IF(H78="",0,IF(J78&gt;0,0,IF(I78="A",H78,IF(I78="M",H78*12,IF(I78="W",H78*Lookups!D$9,IF(I78="B",H78*+Lookups!D$10,IF(I78="S",H78*2,IF(AND(H78=0,J78&gt;0),J78,"ERROR"))))))))</f>
        <v>0</v>
      </c>
      <c r="L78" s="140" t="str">
        <f>IF(OR(AND(K78=0,D78=0),J78&gt;0),"",IF(AND(E78="W",I78="W"),ROUND(K78-(D78*Lookups!$C$9),0),ROUND(+K78-G78,0)))</f>
        <v/>
      </c>
      <c r="M78" s="86" t="str">
        <f t="shared" si="1"/>
        <v/>
      </c>
      <c r="N78" s="132"/>
    </row>
    <row r="79" spans="1:19" ht="29" x14ac:dyDescent="0.35">
      <c r="B79" s="27" t="s">
        <v>522</v>
      </c>
      <c r="C79" s="4" t="s">
        <v>523</v>
      </c>
      <c r="D79" s="22">
        <v>2500</v>
      </c>
      <c r="E79" s="25" t="s">
        <v>38</v>
      </c>
      <c r="F79" s="13"/>
      <c r="G79" s="26">
        <f>IF(D79="",0,IF(F79&gt;0,0,IF(E79="A",D79,IF(E79="M",D79*12,IF(E79="W",D79*Lookups!C$9,IF(E79="B",D79*+Lookups!C$10,IF(E79="S",D79*2,IF(AND(D79=0,F79&gt;0),F79,"ERROR"))))))))</f>
        <v>2500</v>
      </c>
      <c r="H79" s="22">
        <v>3000</v>
      </c>
      <c r="I79" s="25" t="s">
        <v>38</v>
      </c>
      <c r="J79" s="13"/>
      <c r="K79" s="26">
        <f>IF(H79="",0,IF(J79&gt;0,0,IF(I79="A",H79,IF(I79="M",H79*12,IF(I79="W",H79*Lookups!D$9,IF(I79="B",H79*+Lookups!D$10,IF(I79="S",H79*2,IF(AND(H79=0,J79&gt;0),J79,"ERROR"))))))))</f>
        <v>3000</v>
      </c>
      <c r="L79" s="140">
        <f>IF(OR(AND(K79=0,D79=0),J79&gt;0),"",IF(AND(E79="W",I79="W"),ROUND(K79-(D79*Lookups!$C$9),0),ROUND(+K79-G79,0)))</f>
        <v>500</v>
      </c>
      <c r="M79" s="86" t="str">
        <f t="shared" si="1"/>
        <v>I</v>
      </c>
      <c r="N79" s="132"/>
      <c r="O79" s="130" t="s">
        <v>553</v>
      </c>
      <c r="P79" s="64" t="s">
        <v>554</v>
      </c>
      <c r="Q79" s="64" t="s">
        <v>419</v>
      </c>
      <c r="R79" s="65" t="s">
        <v>396</v>
      </c>
      <c r="S79" s="66">
        <v>53405</v>
      </c>
    </row>
    <row r="80" spans="1:19" x14ac:dyDescent="0.35">
      <c r="B80" s="27" t="s">
        <v>522</v>
      </c>
      <c r="C80" s="4" t="s">
        <v>524</v>
      </c>
      <c r="D80" s="22">
        <v>1500</v>
      </c>
      <c r="E80" s="25" t="s">
        <v>38</v>
      </c>
      <c r="F80" s="13"/>
      <c r="G80" s="26">
        <f>IF(D80="",0,IF(F80&gt;0,0,IF(E80="A",D80,IF(E80="M",D80*12,IF(E80="W",D80*Lookups!C$9,IF(E80="B",D80*+Lookups!C$10,IF(E80="S",D80*2,IF(AND(D80=0,F80&gt;0),F80,"ERROR"))))))))</f>
        <v>1500</v>
      </c>
      <c r="H80" s="22">
        <v>2000</v>
      </c>
      <c r="I80" s="25" t="s">
        <v>38</v>
      </c>
      <c r="J80" s="13"/>
      <c r="K80" s="26">
        <f>IF(H80="",0,IF(J80&gt;0,0,IF(I80="A",H80,IF(I80="M",H80*12,IF(I80="W",H80*Lookups!D$9,IF(I80="B",H80*+Lookups!D$10,IF(I80="S",H80*2,IF(AND(H80=0,J80&gt;0),J80,"ERROR"))))))))</f>
        <v>2000</v>
      </c>
      <c r="L80" s="140">
        <f>IF(OR(AND(K80=0,D80=0),J80&gt;0),"",IF(AND(E80="W",I80="W"),ROUND(K80-(D80*Lookups!$C$9),0),ROUND(+K80-G80,0)))</f>
        <v>500</v>
      </c>
      <c r="M80" s="86" t="str">
        <f t="shared" si="1"/>
        <v>I</v>
      </c>
      <c r="N80" s="137" t="s">
        <v>557</v>
      </c>
    </row>
    <row r="81" spans="1:19" x14ac:dyDescent="0.35">
      <c r="A81" s="144" t="s">
        <v>638</v>
      </c>
      <c r="B81" s="119" t="s">
        <v>263</v>
      </c>
      <c r="C81" s="120" t="s">
        <v>264</v>
      </c>
      <c r="D81" s="122"/>
      <c r="E81" s="124"/>
      <c r="F81" s="121"/>
      <c r="G81" s="123">
        <f>IF(D81="",0,IF(F81&gt;0,0,IF(E81="A",D81,IF(E81="M",D81*12,IF(E81="W",D81*Lookups!C$9,IF(E81="B",D81*+Lookups!C$10,IF(E81="S",D81*2,IF(AND(D81=0,F81&gt;0),F81,"ERROR"))))))))</f>
        <v>0</v>
      </c>
      <c r="H81" s="122"/>
      <c r="I81" s="124"/>
      <c r="J81" s="121"/>
      <c r="K81" s="123">
        <f>IF(H81="",0,IF(J81&gt;0,0,IF(I81="A",H81,IF(I81="M",H81*12,IF(I81="W",H81*Lookups!D$9,IF(I81="B",H81*+Lookups!D$10,IF(I81="S",H81*2,IF(AND(H81=0,J81&gt;0),J81,"ERROR"))))))))</f>
        <v>0</v>
      </c>
      <c r="L81" s="96" t="str">
        <f>IF(OR(AND(K81=0,D81=0),J81&gt;0),"",IF(AND(E81="W",I81="W"),ROUND(K81-(D81*Lookups!$C$9),0),ROUND(+K81-G81,0)))</f>
        <v/>
      </c>
      <c r="M81" s="97" t="str">
        <f t="shared" si="1"/>
        <v/>
      </c>
      <c r="N81" s="133"/>
      <c r="O81" s="125" t="s">
        <v>504</v>
      </c>
      <c r="P81" s="125"/>
      <c r="Q81" s="125"/>
      <c r="R81" s="126"/>
      <c r="S81" s="127"/>
    </row>
    <row r="82" spans="1:19" x14ac:dyDescent="0.35">
      <c r="B82" s="24" t="s">
        <v>111</v>
      </c>
      <c r="C82" s="4" t="s">
        <v>112</v>
      </c>
      <c r="D82" s="22">
        <v>300</v>
      </c>
      <c r="E82" s="25" t="s">
        <v>42</v>
      </c>
      <c r="F82" s="13"/>
      <c r="G82" s="26">
        <f>IF(D82="",0,IF(F82&gt;0,0,IF(E82="A",D82,IF(E82="M",D82*12,IF(E82="W",D82*Lookups!C$9,IF(E82="B",D82*+Lookups!C$10,IF(E82="S",D82*2,IF(AND(D82=0,F82&gt;0),F82,"ERROR"))))))))</f>
        <v>3600</v>
      </c>
      <c r="H82" s="22">
        <v>300</v>
      </c>
      <c r="I82" s="25" t="s">
        <v>42</v>
      </c>
      <c r="J82" s="13"/>
      <c r="K82" s="26">
        <f>IF(H82="",0,IF(J82&gt;0,0,IF(I82="A",H82,IF(I82="M",H82*12,IF(I82="W",H82*Lookups!D$9,IF(I82="B",H82*+Lookups!D$10,IF(I82="S",H82*2,IF(AND(H82=0,J82&gt;0),J82,"ERROR"))))))))</f>
        <v>3600</v>
      </c>
      <c r="L82" s="140">
        <f>IF(OR(AND(K82=0,D82=0),J82&gt;0),"",IF(AND(E82="W",I82="W"),ROUND(K82-(D82*Lookups!$C$9),0),ROUND(+K82-G82,0)))</f>
        <v>0</v>
      </c>
      <c r="M82" s="86" t="str">
        <f t="shared" si="1"/>
        <v>S</v>
      </c>
      <c r="N82" s="132"/>
      <c r="O82" s="63" t="s">
        <v>446</v>
      </c>
    </row>
    <row r="83" spans="1:19" x14ac:dyDescent="0.35">
      <c r="A83" s="144" t="s">
        <v>638</v>
      </c>
      <c r="B83" s="27" t="s">
        <v>265</v>
      </c>
      <c r="C83" s="4" t="s">
        <v>266</v>
      </c>
      <c r="D83" s="22"/>
      <c r="E83" s="25"/>
      <c r="F83" s="13"/>
      <c r="G83" s="26">
        <f>IF(D83="",0,IF(F83&gt;0,0,IF(E83="A",D83,IF(E83="M",D83*12,IF(E83="W",D83*Lookups!C$9,IF(E83="B",D83*+Lookups!C$10,IF(E83="S",D83*2,IF(AND(D83=0,F83&gt;0),F83,"ERROR"))))))))</f>
        <v>0</v>
      </c>
      <c r="H83" s="22"/>
      <c r="I83" s="25"/>
      <c r="J83" s="13"/>
      <c r="K83" s="26">
        <f>IF(H83="",0,IF(J83&gt;0,0,IF(I83="A",H83,IF(I83="M",H83*12,IF(I83="W",H83*Lookups!D$9,IF(I83="B",H83*+Lookups!D$10,IF(I83="S",H83*2,IF(AND(H83=0,J83&gt;0),J83,"ERROR"))))))))</f>
        <v>0</v>
      </c>
      <c r="L83" s="140" t="str">
        <f>IF(OR(AND(K83=0,D83=0),J83&gt;0),"",IF(AND(E83="W",I83="W"),ROUND(K83-(D83*Lookups!$C$9),0),ROUND(+K83-G83,0)))</f>
        <v/>
      </c>
      <c r="M83" s="86" t="str">
        <f t="shared" si="1"/>
        <v/>
      </c>
      <c r="N83" s="132"/>
    </row>
    <row r="84" spans="1:19" x14ac:dyDescent="0.35">
      <c r="B84" s="27" t="s">
        <v>267</v>
      </c>
      <c r="C84" s="4" t="s">
        <v>268</v>
      </c>
      <c r="D84" s="22"/>
      <c r="E84" s="25"/>
      <c r="F84" s="13">
        <v>400</v>
      </c>
      <c r="G84" s="26">
        <f>IF(D84="",0,IF(F84&gt;0,0,IF(E84="A",D84,IF(E84="M",D84*12,IF(E84="W",D84*Lookups!C$9,IF(E84="B",D84*+Lookups!C$10,IF(E84="S",D84*2,IF(AND(D84=0,F84&gt;0),F84,"ERROR"))))))))</f>
        <v>0</v>
      </c>
      <c r="H84" s="22">
        <v>30</v>
      </c>
      <c r="I84" s="25" t="s">
        <v>41</v>
      </c>
      <c r="J84" s="13"/>
      <c r="K84" s="26">
        <f>IF(H84="",0,IF(J84&gt;0,0,IF(I84="A",H84,IF(I84="M",H84*12,IF(I84="W",H84*Lookups!D$9,IF(I84="B",H84*+Lookups!D$10,IF(I84="S",H84*2,IF(AND(H84=0,J84&gt;0),J84,"ERROR"))))))))</f>
        <v>1560</v>
      </c>
      <c r="L84" s="140">
        <f>IF(OR(AND(K84=0,D84=0),J84&gt;0),"",IF(AND(E84="W",I84="W"),ROUND(K84-(D84*Lookups!$C$9),0),ROUND(+K84-G84,0)))</f>
        <v>1560</v>
      </c>
      <c r="M84" s="86" t="str">
        <f t="shared" si="1"/>
        <v>N</v>
      </c>
      <c r="N84" s="132"/>
    </row>
    <row r="85" spans="1:19" x14ac:dyDescent="0.35">
      <c r="B85" s="27" t="s">
        <v>670</v>
      </c>
      <c r="C85" s="4" t="s">
        <v>671</v>
      </c>
      <c r="D85" s="22"/>
      <c r="E85" s="25"/>
      <c r="F85" s="13"/>
      <c r="G85" s="26">
        <f>IF(D85="",0,IF(F85&gt;0,0,IF(E85="A",D85,IF(E85="M",D85*12,IF(E85="W",D85*Lookups!C$9,IF(E85="B",D85*+Lookups!C$10,IF(E85="S",D85*2,IF(AND(D85=0,F85&gt;0),F85,"ERROR"))))))))</f>
        <v>0</v>
      </c>
      <c r="H85" s="22">
        <v>100</v>
      </c>
      <c r="I85" s="25" t="s">
        <v>42</v>
      </c>
      <c r="J85" s="13"/>
      <c r="K85" s="26">
        <f>IF(H85="",0,IF(J85&gt;0,0,IF(I85="A",H85,IF(I85="M",H85*12,IF(I85="W",H85*Lookups!D$9,IF(I85="B",H85*+Lookups!D$10,IF(I85="S",H85*2,IF(AND(H85=0,J85&gt;0),J85,"ERROR"))))))))</f>
        <v>1200</v>
      </c>
      <c r="L85" s="140">
        <f>IF(OR(AND(K85=0,D85=0),J85&gt;0),"",IF(AND(E85="W",I85="W"),ROUND(K85-(D85*Lookups!$C$9),0),ROUND(+K85-G85,0)))</f>
        <v>1200</v>
      </c>
      <c r="M85" s="86" t="str">
        <f t="shared" ref="M85" si="2">IF(J85&gt;0,"E",IF(L85="","",IF(L85=0,"S",IF(AND(L85&gt;0,NOT(D85=0)),"I",IF(AND(L85&gt;0,D85=0),"N",IF(L85&lt;0,"D","ERROR"))))))</f>
        <v>N</v>
      </c>
      <c r="N85" s="132"/>
    </row>
    <row r="86" spans="1:19" x14ac:dyDescent="0.35">
      <c r="B86" s="27" t="s">
        <v>269</v>
      </c>
      <c r="C86" s="4" t="s">
        <v>270</v>
      </c>
      <c r="D86" s="22"/>
      <c r="E86" s="25"/>
      <c r="F86" s="13">
        <f>75*12</f>
        <v>900</v>
      </c>
      <c r="G86" s="26">
        <f>IF(D86="",0,IF(F86&gt;0,0,IF(E86="A",D86,IF(E86="M",D86*12,IF(E86="W",D86*Lookups!C$9,IF(E86="B",D86*+Lookups!C$10,IF(E86="S",D86*2,IF(AND(D86=0,F86&gt;0),F86,"ERROR"))))))))</f>
        <v>0</v>
      </c>
      <c r="H86" s="22"/>
      <c r="I86" s="25"/>
      <c r="J86" s="13"/>
      <c r="K86" s="26">
        <f>IF(H86="",0,IF(J86&gt;0,0,IF(I86="A",H86,IF(I86="M",H86*12,IF(I86="W",H86*Lookups!D$9,IF(I86="B",H86*+Lookups!D$10,IF(I86="S",H86*2,IF(AND(H86=0,J86&gt;0),J86,"ERROR"))))))))</f>
        <v>0</v>
      </c>
      <c r="L86" s="140" t="str">
        <f>IF(OR(AND(K86=0,D86=0),J86&gt;0),"",IF(AND(E86="W",I86="W"),ROUND(K86-(D86*Lookups!$C$9),0),ROUND(+K86-G86,0)))</f>
        <v/>
      </c>
      <c r="M86" s="86" t="str">
        <f t="shared" si="1"/>
        <v/>
      </c>
      <c r="N86" s="132"/>
    </row>
    <row r="87" spans="1:19" x14ac:dyDescent="0.35">
      <c r="B87" s="24" t="s">
        <v>113</v>
      </c>
      <c r="C87" s="4" t="s">
        <v>114</v>
      </c>
      <c r="D87" s="22"/>
      <c r="E87" s="25"/>
      <c r="F87" s="13">
        <v>500</v>
      </c>
      <c r="G87" s="26">
        <f>IF(D87="",0,IF(F87&gt;0,0,IF(E87="A",D87,IF(E87="M",D87*12,IF(E87="W",D87*Lookups!C$9,IF(E87="B",D87*+Lookups!C$10,IF(E87="S",D87*2,IF(AND(D87=0,F87&gt;0),F87,"ERROR"))))))))</f>
        <v>0</v>
      </c>
      <c r="H87" s="22"/>
      <c r="I87" s="25"/>
      <c r="J87" s="13"/>
      <c r="K87" s="26">
        <f>IF(H87="",0,IF(J87&gt;0,0,IF(I87="A",H87,IF(I87="M",H87*12,IF(I87="W",H87*Lookups!D$9,IF(I87="B",H87*+Lookups!D$10,IF(I87="S",H87*2,IF(AND(H87=0,J87&gt;0),J87,"ERROR"))))))))</f>
        <v>0</v>
      </c>
      <c r="L87" s="140" t="str">
        <f>IF(OR(AND(K87=0,D87=0),J87&gt;0),"",IF(AND(E87="W",I87="W"),ROUND(K87-(D87*Lookups!$C$9),0),ROUND(+K87-G87,0)))</f>
        <v/>
      </c>
      <c r="M87" s="86" t="str">
        <f t="shared" si="1"/>
        <v/>
      </c>
      <c r="N87" s="132"/>
      <c r="O87" s="63" t="s">
        <v>447</v>
      </c>
      <c r="P87" s="64" t="s">
        <v>448</v>
      </c>
      <c r="Q87" s="64" t="s">
        <v>395</v>
      </c>
      <c r="R87" s="65" t="s">
        <v>396</v>
      </c>
      <c r="S87" s="66">
        <v>53406</v>
      </c>
    </row>
    <row r="88" spans="1:19" ht="15" customHeight="1" x14ac:dyDescent="0.35">
      <c r="B88" s="24" t="s">
        <v>115</v>
      </c>
      <c r="C88" s="4" t="s">
        <v>116</v>
      </c>
      <c r="D88" s="22">
        <v>100</v>
      </c>
      <c r="E88" s="25" t="s">
        <v>42</v>
      </c>
      <c r="F88" s="13"/>
      <c r="G88" s="26">
        <f>IF(D88="",0,IF(F88&gt;0,0,IF(E88="A",D88,IF(E88="M",D88*12,IF(E88="W",D88*Lookups!C$9,IF(E88="B",D88*+Lookups!C$10,IF(E88="S",D88*2,IF(AND(D88=0,F88&gt;0),F88,"ERROR"))))))))</f>
        <v>1200</v>
      </c>
      <c r="H88" s="22">
        <v>100</v>
      </c>
      <c r="I88" s="25" t="s">
        <v>42</v>
      </c>
      <c r="J88" s="13"/>
      <c r="K88" s="26">
        <f>IF(H88="",0,IF(J88&gt;0,0,IF(I88="A",H88,IF(I88="M",H88*12,IF(I88="W",H88*Lookups!D$9,IF(I88="B",H88*+Lookups!D$10,IF(I88="S",H88*2,IF(AND(H88=0,J88&gt;0),J88,"ERROR"))))))))</f>
        <v>1200</v>
      </c>
      <c r="L88" s="140">
        <f>IF(OR(AND(K88=0,D88=0),J88&gt;0),"",IF(AND(E88="W",I88="W"),ROUND(K88-(D88*Lookups!$C$9),0),ROUND(+K88-G88,0)))</f>
        <v>0</v>
      </c>
      <c r="M88" s="86" t="str">
        <f t="shared" si="1"/>
        <v>S</v>
      </c>
      <c r="N88" s="132" t="s">
        <v>663</v>
      </c>
      <c r="P88" s="64" t="s">
        <v>662</v>
      </c>
      <c r="Q88" s="64" t="s">
        <v>395</v>
      </c>
      <c r="R88" s="65" t="s">
        <v>396</v>
      </c>
      <c r="S88" s="66">
        <v>53406</v>
      </c>
    </row>
    <row r="89" spans="1:19" ht="15" customHeight="1" x14ac:dyDescent="0.35">
      <c r="B89" s="24" t="s">
        <v>628</v>
      </c>
      <c r="C89" s="4" t="s">
        <v>629</v>
      </c>
      <c r="D89" s="22"/>
      <c r="E89" s="25"/>
      <c r="F89" s="13"/>
      <c r="G89" s="26">
        <f>IF(D89="",0,IF(F89&gt;0,0,IF(E89="A",D89,IF(E89="M",D89*12,IF(E89="W",D89*Lookups!C$9,IF(E89="B",D89*+Lookups!C$10,IF(E89="S",D89*2,IF(AND(D89=0,F89&gt;0),F89,"ERROR"))))))))</f>
        <v>0</v>
      </c>
      <c r="H89" s="22"/>
      <c r="I89" s="25"/>
      <c r="J89" s="13"/>
      <c r="K89" s="26">
        <f>IF(H89="",0,IF(J89&gt;0,0,IF(I89="A",H89,IF(I89="M",H89*12,IF(I89="W",H89*Lookups!D$9,IF(I89="B",H89*+Lookups!D$10,IF(I89="S",H89*2,IF(AND(H89=0,J89&gt;0),J89,"ERROR"))))))))</f>
        <v>0</v>
      </c>
      <c r="L89" s="140" t="str">
        <f>IF(OR(AND(K89=0,D89=0),J89&gt;0),"",IF(AND(E89="W",I89="W"),ROUND(K89-(D89*Lookups!$C$9),0),ROUND(+K89-G89,0)))</f>
        <v/>
      </c>
      <c r="M89" s="86" t="str">
        <f t="shared" si="1"/>
        <v/>
      </c>
      <c r="N89" s="132"/>
    </row>
    <row r="90" spans="1:19" x14ac:dyDescent="0.35">
      <c r="B90" s="24" t="s">
        <v>117</v>
      </c>
      <c r="C90" s="4" t="s">
        <v>118</v>
      </c>
      <c r="D90" s="22"/>
      <c r="E90" s="25"/>
      <c r="F90" s="13">
        <v>250</v>
      </c>
      <c r="G90" s="26">
        <f>IF(D90="",0,IF(F90&gt;0,0,IF(E90="A",D90,IF(E90="M",D90*12,IF(E90="W",D90*Lookups!C$9,IF(E90="B",D90*+Lookups!C$10,IF(E90="S",D90*2,IF(AND(D90=0,F90&gt;0),F90,"ERROR"))))))))</f>
        <v>0</v>
      </c>
      <c r="H90" s="22">
        <v>50</v>
      </c>
      <c r="I90" s="25" t="s">
        <v>42</v>
      </c>
      <c r="J90" s="13"/>
      <c r="K90" s="26">
        <f>IF(H90="",0,IF(J90&gt;0,0,IF(I90="A",H90,IF(I90="M",H90*12,IF(I90="W",H90*Lookups!D$9,IF(I90="B",H90*+Lookups!D$10,IF(I90="S",H90*2,IF(AND(H90=0,J90&gt;0),J90,"ERROR"))))))))</f>
        <v>600</v>
      </c>
      <c r="L90" s="140">
        <f>IF(OR(AND(K90=0,D90=0),J90&gt;0),"",IF(AND(E90="W",I90="W"),ROUND(K90-(D90*Lookups!$C$9),0),ROUND(+K90-G90,0)))</f>
        <v>600</v>
      </c>
      <c r="M90" s="86" t="str">
        <f t="shared" si="1"/>
        <v>N</v>
      </c>
      <c r="N90" s="132"/>
    </row>
    <row r="91" spans="1:19" x14ac:dyDescent="0.35">
      <c r="B91" s="27" t="s">
        <v>119</v>
      </c>
      <c r="C91" s="4" t="s">
        <v>120</v>
      </c>
      <c r="D91" s="22">
        <v>1200</v>
      </c>
      <c r="E91" s="25" t="s">
        <v>38</v>
      </c>
      <c r="F91" s="13"/>
      <c r="G91" s="26">
        <f>IF(D91="",0,IF(F91&gt;0,0,IF(E91="A",D91,IF(E91="M",D91*12,IF(E91="W",D91*Lookups!C$9,IF(E91="B",D91*+Lookups!C$10,IF(E91="S",D91*2,IF(AND(D91=0,F91&gt;0),F91,"ERROR"))))))))</f>
        <v>1200</v>
      </c>
      <c r="H91" s="22">
        <v>1200</v>
      </c>
      <c r="I91" s="25" t="s">
        <v>38</v>
      </c>
      <c r="J91" s="13"/>
      <c r="K91" s="26">
        <f>IF(H91="",0,IF(J91&gt;0,0,IF(I91="A",H91,IF(I91="M",H91*12,IF(I91="W",H91*Lookups!D$9,IF(I91="B",H91*+Lookups!D$10,IF(I91="S",H91*2,IF(AND(H91=0,J91&gt;0),J91,"ERROR"))))))))</f>
        <v>1200</v>
      </c>
      <c r="L91" s="140">
        <f>IF(OR(AND(K91=0,D91=0),J91&gt;0),"",IF(AND(E91="W",I91="W"),ROUND(K91-(D91*Lookups!$C$9),0),ROUND(+K91-G91,0)))</f>
        <v>0</v>
      </c>
      <c r="M91" s="86" t="str">
        <f t="shared" si="1"/>
        <v>S</v>
      </c>
      <c r="N91" s="132"/>
      <c r="O91" s="63" t="s">
        <v>449</v>
      </c>
      <c r="P91" s="64" t="s">
        <v>450</v>
      </c>
      <c r="Q91" s="64" t="s">
        <v>395</v>
      </c>
      <c r="R91" s="65" t="s">
        <v>396</v>
      </c>
      <c r="S91" s="66">
        <v>53406</v>
      </c>
    </row>
    <row r="92" spans="1:19" x14ac:dyDescent="0.35">
      <c r="B92" s="27" t="s">
        <v>121</v>
      </c>
      <c r="C92" s="4" t="s">
        <v>118</v>
      </c>
      <c r="D92" s="22">
        <v>200</v>
      </c>
      <c r="E92" s="25" t="s">
        <v>42</v>
      </c>
      <c r="F92" s="13"/>
      <c r="G92" s="26">
        <f>IF(D92="",0,IF(F92&gt;0,0,IF(E92="A",D92,IF(E92="M",D92*12,IF(E92="W",D92*Lookups!C$9,IF(E92="B",D92*+Lookups!C$10,IF(E92="S",D92*2,IF(AND(D92=0,F92&gt;0),F92,"ERROR"))))))))</f>
        <v>2400</v>
      </c>
      <c r="H92" s="22">
        <v>200</v>
      </c>
      <c r="I92" s="25" t="s">
        <v>42</v>
      </c>
      <c r="J92" s="13"/>
      <c r="K92" s="26">
        <f>IF(H92="",0,IF(J92&gt;0,0,IF(I92="A",H92,IF(I92="M",H92*12,IF(I92="W",H92*Lookups!D$9,IF(I92="B",H92*+Lookups!D$10,IF(I92="S",H92*2,IF(AND(H92=0,J92&gt;0),J92,"ERROR"))))))))</f>
        <v>2400</v>
      </c>
      <c r="L92" s="140">
        <f>IF(OR(AND(K92=0,D92=0),J92&gt;0),"",IF(AND(E92="W",I92="W"),ROUND(K92-(D92*Lookups!$C$9),0),ROUND(+K92-G92,0)))</f>
        <v>0</v>
      </c>
      <c r="M92" s="86" t="str">
        <f t="shared" si="1"/>
        <v>S</v>
      </c>
      <c r="N92" s="132"/>
      <c r="O92" s="63" t="s">
        <v>451</v>
      </c>
      <c r="P92" s="64" t="s">
        <v>452</v>
      </c>
      <c r="Q92" s="64" t="s">
        <v>395</v>
      </c>
      <c r="R92" s="65" t="s">
        <v>396</v>
      </c>
      <c r="S92" s="66">
        <v>53406</v>
      </c>
    </row>
    <row r="93" spans="1:19" x14ac:dyDescent="0.35">
      <c r="B93" s="27" t="s">
        <v>659</v>
      </c>
      <c r="C93" s="4" t="s">
        <v>660</v>
      </c>
      <c r="D93" s="22">
        <v>3600</v>
      </c>
      <c r="E93" s="25" t="s">
        <v>38</v>
      </c>
      <c r="F93" s="13"/>
      <c r="G93" s="26">
        <f>IF(D93="",0,IF(F93&gt;0,0,IF(E93="A",D93,IF(E93="M",D93*12,IF(E93="W",D93*Lookups!C$9,IF(E93="B",D93*+Lookups!C$10,IF(E93="S",D93*2,IF(AND(D93=0,F93&gt;0),F93,"ERROR"))))))))</f>
        <v>3600</v>
      </c>
      <c r="H93" s="22">
        <v>3600</v>
      </c>
      <c r="I93" s="25" t="s">
        <v>38</v>
      </c>
      <c r="J93" s="13"/>
      <c r="K93" s="26">
        <f>IF(H93="",0,IF(J93&gt;0,0,IF(I93="A",H93,IF(I93="M",H93*12,IF(I93="W",H93*Lookups!D$9,IF(I93="B",H93*+Lookups!D$10,IF(I93="S",H93*2,IF(AND(H93=0,J93&gt;0),J93,"ERROR"))))))))</f>
        <v>3600</v>
      </c>
      <c r="L93" s="140">
        <f>IF(OR(AND(K93=0,D93=0),J93&gt;0),"",IF(AND(E93="W",I93="W"),ROUND(K93-(D93*Lookups!$C$9),0),ROUND(+K93-G93,0)))</f>
        <v>0</v>
      </c>
      <c r="M93" s="86" t="str">
        <f t="shared" si="1"/>
        <v>S</v>
      </c>
      <c r="N93" s="132"/>
      <c r="O93" s="63"/>
    </row>
    <row r="94" spans="1:19" ht="29" x14ac:dyDescent="0.35">
      <c r="B94" s="27" t="s">
        <v>122</v>
      </c>
      <c r="C94" s="4" t="s">
        <v>123</v>
      </c>
      <c r="D94" s="22">
        <v>100</v>
      </c>
      <c r="E94" s="25" t="s">
        <v>41</v>
      </c>
      <c r="F94" s="13"/>
      <c r="G94" s="26">
        <f>IF(D94="",0,IF(F94&gt;0,0,IF(E94="A",D94,IF(E94="M",D94*12,IF(E94="W",D94*Lookups!C$9,IF(E94="B",D94*+Lookups!C$10,IF(E94="S",D94*2,IF(AND(D94=0,F94&gt;0),F94,"ERROR"))))))))</f>
        <v>5200</v>
      </c>
      <c r="H94" s="22">
        <v>106</v>
      </c>
      <c r="I94" s="25" t="s">
        <v>41</v>
      </c>
      <c r="J94" s="13"/>
      <c r="K94" s="26">
        <f>IF(H94="",0,IF(J94&gt;0,0,IF(I94="A",H94,IF(I94="M",H94*12,IF(I94="W",H94*Lookups!D$9,IF(I94="B",H94*+Lookups!D$10,IF(I94="S",H94*2,IF(AND(H94=0,J94&gt;0),J94,"ERROR"))))))))</f>
        <v>5512</v>
      </c>
      <c r="L94" s="140">
        <f>IF(OR(AND(K94=0,D94=0),J94&gt;0),"",IF(AND(E94="W",I94="W"),ROUND(K94-(D94*Lookups!$C$9),0),ROUND(+K94-G94,0)))</f>
        <v>312</v>
      </c>
      <c r="M94" s="86" t="str">
        <f t="shared" si="1"/>
        <v>I</v>
      </c>
      <c r="N94" s="132"/>
      <c r="O94" s="129" t="s">
        <v>559</v>
      </c>
      <c r="P94" s="64" t="s">
        <v>453</v>
      </c>
      <c r="Q94" s="64" t="s">
        <v>419</v>
      </c>
      <c r="R94" s="65" t="s">
        <v>396</v>
      </c>
      <c r="S94" s="66">
        <v>53405</v>
      </c>
    </row>
    <row r="95" spans="1:19" x14ac:dyDescent="0.35">
      <c r="B95" s="24" t="s">
        <v>124</v>
      </c>
      <c r="C95" s="4" t="s">
        <v>125</v>
      </c>
      <c r="D95" s="22"/>
      <c r="E95" s="25"/>
      <c r="F95" s="13">
        <v>650</v>
      </c>
      <c r="G95" s="26">
        <f>IF(D95="",0,IF(F95&gt;0,0,IF(E95="A",D95,IF(E95="M",D95*12,IF(E95="W",D95*Lookups!C$9,IF(E95="B",D95*+Lookups!C$10,IF(E95="S",D95*2,IF(AND(D95=0,F95&gt;0),F95,"ERROR"))))))))</f>
        <v>0</v>
      </c>
      <c r="H95" s="22"/>
      <c r="I95" s="25"/>
      <c r="J95" s="13"/>
      <c r="K95" s="26">
        <f>IF(H95="",0,IF(J95&gt;0,0,IF(I95="A",H95,IF(I95="M",H95*12,IF(I95="W",H95*Lookups!D$9,IF(I95="B",H95*+Lookups!D$10,IF(I95="S",H95*2,IF(AND(H95=0,J95&gt;0),J95,"ERROR"))))))))</f>
        <v>0</v>
      </c>
      <c r="L95" s="140" t="str">
        <f>IF(OR(AND(K95=0,D95=0),J95&gt;0),"",IF(AND(E95="W",I95="W"),ROUND(K95-(D95*Lookups!$C$9),0),ROUND(+K95-G95,0)))</f>
        <v/>
      </c>
      <c r="M95" s="86" t="str">
        <f t="shared" si="1"/>
        <v/>
      </c>
      <c r="N95" s="132"/>
      <c r="O95" s="63"/>
    </row>
    <row r="96" spans="1:19" x14ac:dyDescent="0.35">
      <c r="B96" s="27" t="s">
        <v>126</v>
      </c>
      <c r="C96" s="4" t="s">
        <v>127</v>
      </c>
      <c r="D96" s="22">
        <v>650</v>
      </c>
      <c r="E96" s="25" t="s">
        <v>42</v>
      </c>
      <c r="F96" s="13"/>
      <c r="G96" s="26">
        <f>IF(D96="",0,IF(F96&gt;0,0,IF(E96="A",D96,IF(E96="M",D96*12,IF(E96="W",D96*Lookups!C$9,IF(E96="B",D96*+Lookups!C$10,IF(E96="S",D96*2,IF(AND(D96=0,F96&gt;0),F96,"ERROR"))))))))</f>
        <v>7800</v>
      </c>
      <c r="H96" s="22">
        <v>700</v>
      </c>
      <c r="I96" s="25" t="s">
        <v>42</v>
      </c>
      <c r="J96" s="13"/>
      <c r="K96" s="26">
        <f>IF(H96="",0,IF(J96&gt;0,0,IF(I96="A",H96,IF(I96="M",H96*12,IF(I96="W",H96*Lookups!D$9,IF(I96="B",H96*+Lookups!D$10,IF(I96="S",H96*2,IF(AND(H96=0,J96&gt;0),J96,"ERROR"))))))))</f>
        <v>8400</v>
      </c>
      <c r="L96" s="140">
        <f>IF(OR(AND(K96=0,D96=0),J96&gt;0),"",IF(AND(E96="W",I96="W"),ROUND(K96-(D96*Lookups!$C$9),0),ROUND(+K96-G96,0)))</f>
        <v>600</v>
      </c>
      <c r="M96" s="86" t="str">
        <f t="shared" si="1"/>
        <v>I</v>
      </c>
      <c r="N96" s="132"/>
      <c r="O96" s="63" t="s">
        <v>454</v>
      </c>
      <c r="P96" s="64" t="s">
        <v>560</v>
      </c>
      <c r="Q96" s="64" t="s">
        <v>419</v>
      </c>
      <c r="R96" s="65" t="s">
        <v>396</v>
      </c>
      <c r="S96" s="66">
        <v>53405</v>
      </c>
    </row>
    <row r="97" spans="1:19" x14ac:dyDescent="0.35">
      <c r="B97" s="27" t="s">
        <v>126</v>
      </c>
      <c r="C97" s="4" t="s">
        <v>128</v>
      </c>
      <c r="D97" s="22">
        <v>2500</v>
      </c>
      <c r="E97" s="25" t="s">
        <v>38</v>
      </c>
      <c r="F97" s="13"/>
      <c r="G97" s="26">
        <f>IF(D97="",0,IF(F97&gt;0,0,IF(E97="A",D97,IF(E97="M",D97*12,IF(E97="W",D97*Lookups!C$9,IF(E97="B",D97*+Lookups!C$10,IF(E97="S",D97*2,IF(AND(D97=0,F97&gt;0),F97,"ERROR"))))))))</f>
        <v>2500</v>
      </c>
      <c r="H97" s="22">
        <v>2500</v>
      </c>
      <c r="I97" s="25" t="s">
        <v>38</v>
      </c>
      <c r="J97" s="13"/>
      <c r="K97" s="26">
        <f>IF(H97="",0,IF(J97&gt;0,0,IF(I97="A",H97,IF(I97="M",H97*12,IF(I97="W",H97*Lookups!D$9,IF(I97="B",H97*+Lookups!D$10,IF(I97="S",H97*2,IF(AND(H97=0,J97&gt;0),J97,"ERROR"))))))))</f>
        <v>2500</v>
      </c>
      <c r="L97" s="140">
        <f>IF(OR(AND(K97=0,D97=0),J97&gt;0),"",IF(AND(E97="W",I97="W"),ROUND(K97-(D97*Lookups!$C$9),0),ROUND(+K97-G97,0)))</f>
        <v>0</v>
      </c>
      <c r="M97" s="86" t="str">
        <f t="shared" si="1"/>
        <v>S</v>
      </c>
      <c r="N97" s="132" t="s">
        <v>655</v>
      </c>
      <c r="O97" s="63" t="s">
        <v>455</v>
      </c>
      <c r="P97" s="64" t="s">
        <v>456</v>
      </c>
      <c r="Q97" s="64" t="s">
        <v>401</v>
      </c>
      <c r="R97" s="65" t="s">
        <v>396</v>
      </c>
      <c r="S97" s="66">
        <v>53126</v>
      </c>
    </row>
    <row r="98" spans="1:19" x14ac:dyDescent="0.35">
      <c r="B98" s="27" t="s">
        <v>129</v>
      </c>
      <c r="C98" s="4" t="s">
        <v>130</v>
      </c>
      <c r="D98" s="22"/>
      <c r="E98" s="25"/>
      <c r="F98" s="13"/>
      <c r="G98" s="26">
        <f>IF(D98="",0,IF(F98&gt;0,0,IF(E98="A",D98,IF(E98="M",D98*12,IF(E98="W",D98*Lookups!C$9,IF(E98="B",D98*+Lookups!C$10,IF(E98="S",D98*2,IF(AND(D98=0,F98&gt;0),F98,"ERROR"))))))))</f>
        <v>0</v>
      </c>
      <c r="H98" s="22"/>
      <c r="I98" s="25"/>
      <c r="J98" s="13"/>
      <c r="K98" s="26">
        <f>IF(H98="",0,IF(J98&gt;0,0,IF(I98="A",H98,IF(I98="M",H98*12,IF(I98="W",H98*Lookups!D$9,IF(I98="B",H98*+Lookups!D$10,IF(I98="S",H98*2,IF(AND(H98=0,J98&gt;0),J98,"ERROR"))))))))</f>
        <v>0</v>
      </c>
      <c r="L98" s="140" t="str">
        <f>IF(OR(AND(K98=0,D98=0),J98&gt;0),"",IF(AND(E98="W",I98="W"),ROUND(K98-(D98*Lookups!$C$9),0),ROUND(+K98-G98,0)))</f>
        <v/>
      </c>
      <c r="M98" s="86" t="str">
        <f t="shared" si="1"/>
        <v/>
      </c>
      <c r="N98" s="132"/>
    </row>
    <row r="99" spans="1:19" x14ac:dyDescent="0.35">
      <c r="B99" s="27" t="s">
        <v>271</v>
      </c>
      <c r="C99" s="4" t="s">
        <v>272</v>
      </c>
      <c r="D99" s="22"/>
      <c r="E99" s="25"/>
      <c r="F99" s="13">
        <v>700</v>
      </c>
      <c r="G99" s="26">
        <f>IF(D99="",0,IF(F99&gt;0,0,IF(E99="A",D99,IF(E99="M",D99*12,IF(E99="W",D99*Lookups!C$9,IF(E99="B",D99*+Lookups!C$10,IF(E99="S",D99*2,IF(AND(D99=0,F99&gt;0),F99,"ERROR"))))))))</f>
        <v>0</v>
      </c>
      <c r="H99" s="22"/>
      <c r="I99" s="25"/>
      <c r="J99" s="13"/>
      <c r="K99" s="26">
        <f>IF(H99="",0,IF(J99&gt;0,0,IF(I99="A",H99,IF(I99="M",H99*12,IF(I99="W",H99*Lookups!D$9,IF(I99="B",H99*+Lookups!D$10,IF(I99="S",H99*2,IF(AND(H99=0,J99&gt;0),J99,"ERROR"))))))))</f>
        <v>0</v>
      </c>
      <c r="L99" s="140" t="str">
        <f>IF(OR(AND(K99=0,D99=0),J99&gt;0),"",IF(AND(E99="W",I99="W"),ROUND(K99-(D99*Lookups!$C$9),0),ROUND(+K99-G99,0)))</f>
        <v/>
      </c>
      <c r="M99" s="86" t="str">
        <f t="shared" si="1"/>
        <v/>
      </c>
      <c r="N99" s="132"/>
    </row>
    <row r="100" spans="1:19" x14ac:dyDescent="0.35">
      <c r="B100" s="27" t="s">
        <v>271</v>
      </c>
      <c r="C100" s="4" t="s">
        <v>19</v>
      </c>
      <c r="D100" s="22"/>
      <c r="E100" s="25"/>
      <c r="F100" s="13">
        <f>266.666666666667*12</f>
        <v>3200.0000000000045</v>
      </c>
      <c r="G100" s="26">
        <f>IF(D100="",0,IF(F100&gt;0,0,IF(E100="A",D100,IF(E100="M",D100*12,IF(E100="W",D100*Lookups!C$9,IF(E100="B",D100*+Lookups!C$10,IF(E100="S",D100*2,IF(AND(D100=0,F100&gt;0),F100,"ERROR"))))))))</f>
        <v>0</v>
      </c>
      <c r="H100" s="22"/>
      <c r="I100" s="25"/>
      <c r="J100" s="13"/>
      <c r="K100" s="26">
        <f>IF(H100="",0,IF(J100&gt;0,0,IF(I100="A",H100,IF(I100="M",H100*12,IF(I100="W",H100*Lookups!D$9,IF(I100="B",H100*+Lookups!D$10,IF(I100="S",H100*2,IF(AND(H100=0,J100&gt;0),J100,"ERROR"))))))))</f>
        <v>0</v>
      </c>
      <c r="L100" s="140" t="str">
        <f>IF(OR(AND(K100=0,D100=0),J100&gt;0),"",IF(AND(E100="W",I100="W"),ROUND(K100-(D100*Lookups!$C$9),0),ROUND(+K100-G100,0)))</f>
        <v/>
      </c>
      <c r="M100" s="86" t="str">
        <f t="shared" si="1"/>
        <v/>
      </c>
      <c r="N100" s="132"/>
    </row>
    <row r="101" spans="1:19" x14ac:dyDescent="0.35">
      <c r="B101" s="27" t="s">
        <v>273</v>
      </c>
      <c r="C101" s="4" t="s">
        <v>274</v>
      </c>
      <c r="D101" s="22"/>
      <c r="E101" s="25"/>
      <c r="F101" s="13">
        <v>300</v>
      </c>
      <c r="G101" s="26">
        <f>IF(D101="",0,IF(F101&gt;0,0,IF(E101="A",D101,IF(E101="M",D101*12,IF(E101="W",D101*Lookups!C$9,IF(E101="B",D101*+Lookups!C$10,IF(E101="S",D101*2,IF(AND(D101=0,F101&gt;0),F101,"ERROR"))))))))</f>
        <v>0</v>
      </c>
      <c r="H101" s="22"/>
      <c r="I101" s="25"/>
      <c r="J101" s="13"/>
      <c r="K101" s="26">
        <f>IF(H101="",0,IF(J101&gt;0,0,IF(I101="A",H101,IF(I101="M",H101*12,IF(I101="W",H101*Lookups!D$9,IF(I101="B",H101*+Lookups!D$10,IF(I101="S",H101*2,IF(AND(H101=0,J101&gt;0),J101,"ERROR"))))))))</f>
        <v>0</v>
      </c>
      <c r="L101" s="140" t="str">
        <f>IF(OR(AND(K101=0,D101=0),J101&gt;0),"",IF(AND(E101="W",I101="W"),ROUND(K101-(D101*Lookups!$C$9),0),ROUND(+K101-G101,0)))</f>
        <v/>
      </c>
      <c r="M101" s="86" t="str">
        <f t="shared" si="1"/>
        <v/>
      </c>
      <c r="N101" s="132"/>
    </row>
    <row r="102" spans="1:19" x14ac:dyDescent="0.35">
      <c r="B102" s="27" t="s">
        <v>275</v>
      </c>
      <c r="C102" s="4" t="s">
        <v>276</v>
      </c>
      <c r="D102" s="22"/>
      <c r="E102" s="25"/>
      <c r="F102" s="13"/>
      <c r="G102" s="26">
        <f>IF(D102="",0,IF(F102&gt;0,0,IF(E102="A",D102,IF(E102="M",D102*12,IF(E102="W",D102*Lookups!C$9,IF(E102="B",D102*+Lookups!C$10,IF(E102="S",D102*2,IF(AND(D102=0,F102&gt;0),F102,"ERROR"))))))))</f>
        <v>0</v>
      </c>
      <c r="H102" s="22"/>
      <c r="I102" s="25"/>
      <c r="J102" s="13"/>
      <c r="K102" s="26">
        <f>IF(H102="",0,IF(J102&gt;0,0,IF(I102="A",H102,IF(I102="M",H102*12,IF(I102="W",H102*Lookups!D$9,IF(I102="B",H102*+Lookups!D$10,IF(I102="S",H102*2,IF(AND(H102=0,J102&gt;0),J102,"ERROR"))))))))</f>
        <v>0</v>
      </c>
      <c r="L102" s="140" t="str">
        <f>IF(OR(AND(K102=0,D102=0),J102&gt;0),"",IF(AND(E102="W",I102="W"),ROUND(K102-(D102*Lookups!$C$9),0),ROUND(+K102-G102,0)))</f>
        <v/>
      </c>
      <c r="M102" s="86" t="str">
        <f t="shared" si="1"/>
        <v/>
      </c>
      <c r="N102" s="132"/>
    </row>
    <row r="103" spans="1:19" x14ac:dyDescent="0.35">
      <c r="A103" s="144" t="s">
        <v>638</v>
      </c>
      <c r="B103" s="27" t="s">
        <v>277</v>
      </c>
      <c r="C103" s="4" t="s">
        <v>239</v>
      </c>
      <c r="D103" s="22"/>
      <c r="E103" s="25"/>
      <c r="F103" s="13"/>
      <c r="G103" s="26">
        <f>IF(D103="",0,IF(F103&gt;0,0,IF(E103="A",D103,IF(E103="M",D103*12,IF(E103="W",D103*Lookups!C$9,IF(E103="B",D103*+Lookups!C$10,IF(E103="S",D103*2,IF(AND(D103=0,F103&gt;0),F103,"ERROR"))))))))</f>
        <v>0</v>
      </c>
      <c r="H103" s="22"/>
      <c r="I103" s="25"/>
      <c r="J103" s="13"/>
      <c r="K103" s="26">
        <f>IF(H103="",0,IF(J103&gt;0,0,IF(I103="A",H103,IF(I103="M",H103*12,IF(I103="W",H103*Lookups!D$9,IF(I103="B",H103*+Lookups!D$10,IF(I103="S",H103*2,IF(AND(H103=0,J103&gt;0),J103,"ERROR"))))))))</f>
        <v>0</v>
      </c>
      <c r="L103" s="140" t="str">
        <f>IF(OR(AND(K103=0,D103=0),J103&gt;0),"",IF(AND(E103="W",I103="W"),ROUND(K103-(D103*Lookups!$C$9),0),ROUND(+K103-G103,0)))</f>
        <v/>
      </c>
      <c r="M103" s="86" t="str">
        <f t="shared" si="1"/>
        <v/>
      </c>
      <c r="N103" s="132"/>
    </row>
    <row r="104" spans="1:19" x14ac:dyDescent="0.35">
      <c r="B104" s="27" t="s">
        <v>672</v>
      </c>
      <c r="C104" s="4" t="s">
        <v>673</v>
      </c>
      <c r="D104" s="22"/>
      <c r="E104" s="25"/>
      <c r="F104" s="13"/>
      <c r="G104" s="26">
        <f>IF(D104="",0,IF(F104&gt;0,0,IF(E104="A",D104,IF(E104="M",D104*12,IF(E104="W",D104*Lookups!C$9,IF(E104="B",D104*+Lookups!C$10,IF(E104="S",D104*2,IF(AND(D104=0,F104&gt;0),F104,"ERROR"))))))))</f>
        <v>0</v>
      </c>
      <c r="H104" s="22">
        <v>200</v>
      </c>
      <c r="I104" s="25" t="s">
        <v>42</v>
      </c>
      <c r="J104" s="13"/>
      <c r="K104" s="26">
        <f>IF(H104="",0,IF(J104&gt;0,0,IF(I104="A",H104,IF(I104="M",H104*12,IF(I104="W",H104*Lookups!D$9,IF(I104="B",H104*+Lookups!D$10,IF(I104="S",H104*2,IF(AND(H104=0,J104&gt;0),J104,"ERROR"))))))))</f>
        <v>2400</v>
      </c>
      <c r="L104" s="140">
        <f>IF(OR(AND(K104=0,D104=0),J104&gt;0),"",IF(AND(E104="W",I104="W"),ROUND(K104-(D104*Lookups!$C$9),0),ROUND(+K104-G104,0)))</f>
        <v>2400</v>
      </c>
      <c r="M104" s="86" t="str">
        <f t="shared" ref="M104" si="3">IF(J104&gt;0,"E",IF(L104="","",IF(L104=0,"S",IF(AND(L104&gt;0,NOT(D104=0)),"I",IF(AND(L104&gt;0,D104=0),"N",IF(L104&lt;0,"D","ERROR"))))))</f>
        <v>N</v>
      </c>
      <c r="N104" s="132"/>
    </row>
    <row r="105" spans="1:19" x14ac:dyDescent="0.35">
      <c r="B105" s="27" t="s">
        <v>278</v>
      </c>
      <c r="C105" s="4" t="s">
        <v>19</v>
      </c>
      <c r="D105" s="22"/>
      <c r="E105" s="25"/>
      <c r="F105" s="13">
        <v>100</v>
      </c>
      <c r="G105" s="26">
        <f>IF(D105="",0,IF(F105&gt;0,0,IF(E105="A",D105,IF(E105="M",D105*12,IF(E105="W",D105*Lookups!C$9,IF(E105="B",D105*+Lookups!C$10,IF(E105="S",D105*2,IF(AND(D105=0,F105&gt;0),F105,"ERROR"))))))))</f>
        <v>0</v>
      </c>
      <c r="H105" s="22">
        <v>20</v>
      </c>
      <c r="I105" s="25" t="s">
        <v>42</v>
      </c>
      <c r="J105" s="13"/>
      <c r="K105" s="26">
        <f>IF(H105="",0,IF(J105&gt;0,0,IF(I105="A",H105,IF(I105="M",H105*12,IF(I105="W",H105*Lookups!D$9,IF(I105="B",H105*+Lookups!D$10,IF(I105="S",H105*2,IF(AND(H105=0,J105&gt;0),J105,"ERROR"))))))))</f>
        <v>240</v>
      </c>
      <c r="L105" s="140">
        <f>IF(OR(AND(K105=0,D105=0),J105&gt;0),"",IF(AND(E105="W",I105="W"),ROUND(K105-(D105*Lookups!$C$9),0),ROUND(+K105-G105,0)))</f>
        <v>240</v>
      </c>
      <c r="M105" s="86" t="str">
        <f t="shared" si="1"/>
        <v>N</v>
      </c>
      <c r="N105" s="132" t="s">
        <v>564</v>
      </c>
      <c r="O105" s="63" t="s">
        <v>561</v>
      </c>
      <c r="P105" s="64" t="s">
        <v>562</v>
      </c>
      <c r="Q105" s="64" t="s">
        <v>563</v>
      </c>
      <c r="R105" s="65" t="s">
        <v>396</v>
      </c>
      <c r="S105" s="66">
        <v>53406</v>
      </c>
    </row>
    <row r="106" spans="1:19" x14ac:dyDescent="0.35">
      <c r="B106" s="27" t="s">
        <v>131</v>
      </c>
      <c r="C106" s="4" t="s">
        <v>279</v>
      </c>
      <c r="D106" s="22"/>
      <c r="E106" s="25"/>
      <c r="F106" s="13">
        <f>50*12</f>
        <v>600</v>
      </c>
      <c r="G106" s="26">
        <f>IF(D106="",0,IF(F106&gt;0,0,IF(E106="A",D106,IF(E106="M",D106*12,IF(E106="W",D106*Lookups!C$9,IF(E106="B",D106*+Lookups!C$10,IF(E106="S",D106*2,IF(AND(D106=0,F106&gt;0),F106,"ERROR"))))))))</f>
        <v>0</v>
      </c>
      <c r="H106" s="22"/>
      <c r="I106" s="25"/>
      <c r="J106" s="13"/>
      <c r="K106" s="26">
        <f>IF(H106="",0,IF(J106&gt;0,0,IF(I106="A",H106,IF(I106="M",H106*12,IF(I106="W",H106*Lookups!D$9,IF(I106="B",H106*+Lookups!D$10,IF(I106="S",H106*2,IF(AND(H106=0,J106&gt;0),J106,"ERROR"))))))))</f>
        <v>0</v>
      </c>
      <c r="L106" s="140" t="str">
        <f>IF(OR(AND(K106=0,D106=0),J106&gt;0),"",IF(AND(E106="W",I106="W"),ROUND(K106-(D106*Lookups!$C$9),0),ROUND(+K106-G106,0)))</f>
        <v/>
      </c>
      <c r="M106" s="86" t="str">
        <f t="shared" si="1"/>
        <v/>
      </c>
      <c r="N106" s="132"/>
    </row>
    <row r="107" spans="1:19" x14ac:dyDescent="0.35">
      <c r="B107" s="27" t="s">
        <v>131</v>
      </c>
      <c r="C107" s="4" t="s">
        <v>132</v>
      </c>
      <c r="D107" s="22">
        <v>25</v>
      </c>
      <c r="E107" s="25" t="s">
        <v>42</v>
      </c>
      <c r="F107" s="13"/>
      <c r="G107" s="26">
        <f>IF(D107="",0,IF(F107&gt;0,0,IF(E107="A",D107,IF(E107="M",D107*12,IF(E107="W",D107*Lookups!C$9,IF(E107="B",D107*+Lookups!C$10,IF(E107="S",D107*2,IF(AND(D107=0,F107&gt;0),F107,"ERROR"))))))))</f>
        <v>300</v>
      </c>
      <c r="H107" s="22"/>
      <c r="I107" s="25"/>
      <c r="J107" s="13"/>
      <c r="K107" s="26">
        <f>IF(H107="",0,IF(J107&gt;0,0,IF(I107="A",H107,IF(I107="M",H107*12,IF(I107="W",H107*Lookups!D$9,IF(I107="B",H107*+Lookups!D$10,IF(I107="S",H107*2,IF(AND(H107=0,J107&gt;0),J107,"ERROR"))))))))</f>
        <v>0</v>
      </c>
      <c r="L107" s="140">
        <f>IF(OR(AND(K107=0,D107=0),J107&gt;0),"",IF(AND(E107="W",I107="W"),ROUND(K107-(D107*Lookups!$C$9),0),ROUND(+K107-G107,0)))</f>
        <v>-300</v>
      </c>
      <c r="M107" s="86" t="str">
        <f t="shared" si="1"/>
        <v>D</v>
      </c>
      <c r="N107" s="132"/>
      <c r="O107" s="63" t="s">
        <v>644</v>
      </c>
      <c r="P107" s="64" t="s">
        <v>645</v>
      </c>
      <c r="Q107" s="64" t="s">
        <v>563</v>
      </c>
      <c r="R107" s="65" t="s">
        <v>396</v>
      </c>
      <c r="S107" s="66">
        <v>53406</v>
      </c>
    </row>
    <row r="108" spans="1:19" ht="29" x14ac:dyDescent="0.35">
      <c r="B108" s="27" t="s">
        <v>133</v>
      </c>
      <c r="C108" s="4" t="s">
        <v>134</v>
      </c>
      <c r="D108" s="22">
        <v>2200</v>
      </c>
      <c r="E108" s="25" t="s">
        <v>38</v>
      </c>
      <c r="F108" s="13"/>
      <c r="G108" s="26">
        <f>IF(D108="",0,IF(F108&gt;0,0,IF(E108="A",D108,IF(E108="M",D108*12,IF(E108="W",D108*Lookups!C$9,IF(E108="B",D108*+Lookups!C$10,IF(E108="S",D108*2,IF(AND(D108=0,F108&gt;0),F108,"ERROR"))))))))</f>
        <v>2200</v>
      </c>
      <c r="H108" s="22">
        <v>3000</v>
      </c>
      <c r="I108" s="25" t="s">
        <v>38</v>
      </c>
      <c r="J108" s="13"/>
      <c r="K108" s="26">
        <f>IF(H108="",0,IF(J108&gt;0,0,IF(I108="A",H108,IF(I108="M",H108*12,IF(I108="W",H108*Lookups!D$9,IF(I108="B",H108*+Lookups!D$10,IF(I108="S",H108*2,IF(AND(H108=0,J108&gt;0),J108,"ERROR"))))))))</f>
        <v>3000</v>
      </c>
      <c r="L108" s="140">
        <f>IF(OR(AND(K108=0,D108=0),J108&gt;0),"",IF(AND(E108="W",I108="W"),ROUND(K108-(D108*Lookups!$C$9),0),ROUND(+K108-G108,0)))</f>
        <v>800</v>
      </c>
      <c r="M108" s="86" t="str">
        <f t="shared" si="1"/>
        <v>I</v>
      </c>
      <c r="N108" s="132" t="s">
        <v>566</v>
      </c>
      <c r="O108" s="129" t="s">
        <v>565</v>
      </c>
      <c r="P108" s="64" t="s">
        <v>457</v>
      </c>
      <c r="Q108" s="64" t="s">
        <v>419</v>
      </c>
      <c r="R108" s="65" t="s">
        <v>396</v>
      </c>
      <c r="S108" s="66">
        <v>53406</v>
      </c>
    </row>
    <row r="109" spans="1:19" x14ac:dyDescent="0.35">
      <c r="B109" s="24" t="s">
        <v>135</v>
      </c>
      <c r="C109" s="4" t="s">
        <v>136</v>
      </c>
      <c r="D109" s="22">
        <v>1200</v>
      </c>
      <c r="E109" s="25" t="s">
        <v>38</v>
      </c>
      <c r="F109" s="13"/>
      <c r="G109" s="26">
        <f>IF(D109="",0,IF(F109&gt;0,0,IF(E109="A",D109,IF(E109="M",D109*12,IF(E109="W",D109*Lookups!C$9,IF(E109="B",D109*+Lookups!C$10,IF(E109="S",D109*2,IF(AND(D109=0,F109&gt;0),F109,"ERROR"))))))))</f>
        <v>1200</v>
      </c>
      <c r="H109" s="22">
        <v>1200</v>
      </c>
      <c r="I109" s="25" t="s">
        <v>38</v>
      </c>
      <c r="J109" s="13"/>
      <c r="K109" s="26">
        <f>IF(H109="",0,IF(J109&gt;0,0,IF(I109="A",H109,IF(I109="M",H109*12,IF(I109="W",H109*Lookups!D$9,IF(I109="B",H109*+Lookups!D$10,IF(I109="S",H109*2,IF(AND(H109=0,J109&gt;0),J109,"ERROR"))))))))</f>
        <v>1200</v>
      </c>
      <c r="L109" s="140">
        <f>IF(OR(AND(K109=0,D109=0),J109&gt;0),"",IF(AND(E109="W",I109="W"),ROUND(K109-(D109*Lookups!$C$9),0),ROUND(+K109-G109,0)))</f>
        <v>0</v>
      </c>
      <c r="M109" s="86" t="str">
        <f t="shared" si="1"/>
        <v>S</v>
      </c>
      <c r="N109" s="132"/>
      <c r="P109" s="64" t="s">
        <v>458</v>
      </c>
      <c r="Q109" s="64" t="s">
        <v>419</v>
      </c>
      <c r="R109" s="65" t="s">
        <v>396</v>
      </c>
      <c r="S109" s="66">
        <v>53402</v>
      </c>
    </row>
    <row r="110" spans="1:19" x14ac:dyDescent="0.35">
      <c r="B110" s="27" t="s">
        <v>280</v>
      </c>
      <c r="C110" s="4" t="s">
        <v>281</v>
      </c>
      <c r="D110" s="22"/>
      <c r="E110" s="25"/>
      <c r="F110" s="13">
        <v>600</v>
      </c>
      <c r="G110" s="26">
        <f>IF(D110="",0,IF(F110&gt;0,0,IF(E110="A",D110,IF(E110="M",D110*12,IF(E110="W",D110*Lookups!C$9,IF(E110="B",D110*+Lookups!C$10,IF(E110="S",D110*2,IF(AND(D110=0,F110&gt;0),F110,"ERROR"))))))))</f>
        <v>0</v>
      </c>
      <c r="H110" s="22"/>
      <c r="I110" s="25"/>
      <c r="J110" s="13"/>
      <c r="K110" s="26">
        <f>IF(H110="",0,IF(J110&gt;0,0,IF(I110="A",H110,IF(I110="M",H110*12,IF(I110="W",H110*Lookups!D$9,IF(I110="B",H110*+Lookups!D$10,IF(I110="S",H110*2,IF(AND(H110=0,J110&gt;0),J110,"ERROR"))))))))</f>
        <v>0</v>
      </c>
      <c r="L110" s="140" t="str">
        <f>IF(OR(AND(K110=0,D110=0),J110&gt;0),"",IF(AND(E110="W",I110="W"),ROUND(K110-(D110*Lookups!$C$9),0),ROUND(+K110-G110,0)))</f>
        <v/>
      </c>
      <c r="M110" s="86" t="str">
        <f t="shared" si="1"/>
        <v/>
      </c>
      <c r="N110" s="132"/>
    </row>
    <row r="111" spans="1:19" x14ac:dyDescent="0.35">
      <c r="B111" s="24" t="s">
        <v>137</v>
      </c>
      <c r="C111" s="4" t="s">
        <v>138</v>
      </c>
      <c r="D111" s="22">
        <v>80</v>
      </c>
      <c r="E111" s="25" t="s">
        <v>42</v>
      </c>
      <c r="F111" s="13"/>
      <c r="G111" s="26">
        <f>IF(D111="",0,IF(F111&gt;0,0,IF(E111="A",D111,IF(E111="M",D111*12,IF(E111="W",D111*Lookups!C$9,IF(E111="B",D111*+Lookups!C$10,IF(E111="S",D111*2,IF(AND(D111=0,F111&gt;0),F111,"ERROR"))))))))</f>
        <v>960</v>
      </c>
      <c r="H111" s="22">
        <v>80</v>
      </c>
      <c r="I111" s="25" t="s">
        <v>42</v>
      </c>
      <c r="J111" s="13"/>
      <c r="K111" s="26">
        <f>IF(H111="",0,IF(J111&gt;0,0,IF(I111="A",H111,IF(I111="M",H111*12,IF(I111="W",H111*Lookups!D$9,IF(I111="B",H111*+Lookups!D$10,IF(I111="S",H111*2,IF(AND(H111=0,J111&gt;0),J111,"ERROR"))))))))</f>
        <v>960</v>
      </c>
      <c r="L111" s="140">
        <f>IF(OR(AND(K111=0,D111=0),J111&gt;0),"",IF(AND(E111="W",I111="W"),ROUND(K111-(D111*Lookups!$C$9),0),ROUND(+K111-G111,0)))</f>
        <v>0</v>
      </c>
      <c r="M111" s="86" t="str">
        <f t="shared" si="1"/>
        <v>S</v>
      </c>
      <c r="N111" s="132"/>
    </row>
    <row r="112" spans="1:19" x14ac:dyDescent="0.35">
      <c r="B112" s="24" t="s">
        <v>674</v>
      </c>
      <c r="C112" s="4" t="s">
        <v>675</v>
      </c>
      <c r="D112" s="22"/>
      <c r="E112" s="25"/>
      <c r="F112" s="13"/>
      <c r="G112" s="26">
        <f>IF(D112="",0,IF(F112&gt;0,0,IF(E112="A",D112,IF(E112="M",D112*12,IF(E112="W",D112*Lookups!C$9,IF(E112="B",D112*+Lookups!C$10,IF(E112="S",D112*2,IF(AND(D112=0,F112&gt;0),F112,"ERROR"))))))))</f>
        <v>0</v>
      </c>
      <c r="H112" s="22">
        <v>100</v>
      </c>
      <c r="I112" s="25" t="s">
        <v>42</v>
      </c>
      <c r="J112" s="13"/>
      <c r="K112" s="26">
        <f>IF(H112="",0,IF(J112&gt;0,0,IF(I112="A",H112,IF(I112="M",H112*12,IF(I112="W",H112*Lookups!D$9,IF(I112="B",H112*+Lookups!D$10,IF(I112="S",H112*2,IF(AND(H112=0,J112&gt;0),J112,"ERROR"))))))))</f>
        <v>1200</v>
      </c>
      <c r="L112" s="140">
        <f>IF(OR(AND(K112=0,D112=0),J112&gt;0),"",IF(AND(E112="W",I112="W"),ROUND(K112-(D112*Lookups!$C$9),0),ROUND(+K112-G112,0)))</f>
        <v>1200</v>
      </c>
      <c r="M112" s="86" t="str">
        <f t="shared" ref="M112" si="4">IF(J112&gt;0,"E",IF(L112="","",IF(L112=0,"S",IF(AND(L112&gt;0,NOT(D112=0)),"I",IF(AND(L112&gt;0,D112=0),"N",IF(L112&lt;0,"D","ERROR"))))))</f>
        <v>N</v>
      </c>
      <c r="N112" s="132"/>
    </row>
    <row r="113" spans="1:20" x14ac:dyDescent="0.35">
      <c r="A113" s="144" t="s">
        <v>638</v>
      </c>
      <c r="B113" s="27" t="s">
        <v>282</v>
      </c>
      <c r="C113" s="4" t="s">
        <v>283</v>
      </c>
      <c r="D113" s="22"/>
      <c r="E113" s="25"/>
      <c r="F113" s="13"/>
      <c r="G113" s="26">
        <f>IF(D113="",0,IF(F113&gt;0,0,IF(E113="A",D113,IF(E113="M",D113*12,IF(E113="W",D113*Lookups!C$9,IF(E113="B",D113*+Lookups!C$10,IF(E113="S",D113*2,IF(AND(D113=0,F113&gt;0),F113,"ERROR"))))))))</f>
        <v>0</v>
      </c>
      <c r="H113" s="22"/>
      <c r="I113" s="25"/>
      <c r="J113" s="13"/>
      <c r="K113" s="26">
        <f>IF(H113="",0,IF(J113&gt;0,0,IF(I113="A",H113,IF(I113="M",H113*12,IF(I113="W",H113*Lookups!D$9,IF(I113="B",H113*+Lookups!D$10,IF(I113="S",H113*2,IF(AND(H113=0,J113&gt;0),J113,"ERROR"))))))))</f>
        <v>0</v>
      </c>
      <c r="L113" s="140" t="str">
        <f>IF(OR(AND(K113=0,D113=0),J113&gt;0),"",IF(AND(E113="W",I113="W"),ROUND(K113-(D113*Lookups!$C$9),0),ROUND(+K113-G113,0)))</f>
        <v/>
      </c>
      <c r="M113" s="86" t="str">
        <f t="shared" si="1"/>
        <v/>
      </c>
      <c r="N113" s="132"/>
    </row>
    <row r="114" spans="1:20" x14ac:dyDescent="0.35">
      <c r="B114" s="27" t="s">
        <v>139</v>
      </c>
      <c r="C114" s="4" t="s">
        <v>140</v>
      </c>
      <c r="D114" s="22">
        <v>160</v>
      </c>
      <c r="E114" s="25" t="s">
        <v>42</v>
      </c>
      <c r="F114" s="13"/>
      <c r="G114" s="26">
        <f>IF(D114="",0,IF(F114&gt;0,0,IF(E114="A",D114,IF(E114="M",D114*12,IF(E114="W",D114*Lookups!C$9,IF(E114="B",D114*+Lookups!C$10,IF(E114="S",D114*2,IF(AND(D114=0,F114&gt;0),F114,"ERROR"))))))))</f>
        <v>1920</v>
      </c>
      <c r="H114" s="22">
        <v>37.5</v>
      </c>
      <c r="I114" s="25" t="s">
        <v>41</v>
      </c>
      <c r="J114" s="13"/>
      <c r="K114" s="26">
        <f>IF(H114="",0,IF(J114&gt;0,0,IF(I114="A",H114,IF(I114="M",H114*12,IF(I114="W",H114*Lookups!D$9,IF(I114="B",H114*+Lookups!D$10,IF(I114="S",H114*2,IF(AND(H114=0,J114&gt;0),J114,"ERROR"))))))))</f>
        <v>1950</v>
      </c>
      <c r="L114" s="140">
        <f>IF(OR(AND(K114=0,D114=0),J114&gt;0),"",IF(AND(E114="W",I114="W"),ROUND(K114-(D114*Lookups!$C$9),0),ROUND(+K114-G114,0)))</f>
        <v>30</v>
      </c>
      <c r="M114" s="86" t="str">
        <f t="shared" si="1"/>
        <v>I</v>
      </c>
      <c r="N114" s="132"/>
      <c r="O114" s="63" t="s">
        <v>567</v>
      </c>
      <c r="P114" s="64" t="s">
        <v>568</v>
      </c>
      <c r="Q114" s="64" t="s">
        <v>419</v>
      </c>
      <c r="R114" s="65" t="s">
        <v>396</v>
      </c>
      <c r="S114" s="66">
        <v>53406</v>
      </c>
    </row>
    <row r="115" spans="1:20" x14ac:dyDescent="0.35">
      <c r="B115" s="24" t="s">
        <v>141</v>
      </c>
      <c r="C115" s="4" t="s">
        <v>142</v>
      </c>
      <c r="D115" s="22">
        <v>1500</v>
      </c>
      <c r="E115" s="25" t="s">
        <v>38</v>
      </c>
      <c r="F115" s="13"/>
      <c r="G115" s="26">
        <f>IF(D115="",0,IF(F115&gt;0,0,IF(E115="A",D115,IF(E115="M",D115*12,IF(E115="W",D115*Lookups!C$9,IF(E115="B",D115*+Lookups!C$10,IF(E115="S",D115*2,IF(AND(D115=0,F115&gt;0),F115,"ERROR"))))))))</f>
        <v>1500</v>
      </c>
      <c r="H115" s="22">
        <v>1600</v>
      </c>
      <c r="I115" s="25" t="s">
        <v>38</v>
      </c>
      <c r="J115" s="13"/>
      <c r="K115" s="26">
        <f>IF(H115="",0,IF(J115&gt;0,0,IF(I115="A",H115,IF(I115="M",H115*12,IF(I115="W",H115*Lookups!D$9,IF(I115="B",H115*+Lookups!D$10,IF(I115="S",H115*2,IF(AND(H115=0,J115&gt;0),J115,"ERROR"))))))))</f>
        <v>1600</v>
      </c>
      <c r="L115" s="140">
        <f>IF(OR(AND(K115=0,D115=0),J115&gt;0),"",IF(AND(E115="W",I115="W"),ROUND(K115-(D115*Lookups!$C$9),0),ROUND(+K115-G115,0)))</f>
        <v>100</v>
      </c>
      <c r="M115" s="86" t="str">
        <f t="shared" si="1"/>
        <v>I</v>
      </c>
      <c r="N115" s="132" t="s">
        <v>646</v>
      </c>
      <c r="P115" s="64" t="s">
        <v>647</v>
      </c>
      <c r="Q115" s="64" t="s">
        <v>419</v>
      </c>
      <c r="R115" s="65" t="s">
        <v>396</v>
      </c>
      <c r="S115" s="66">
        <v>53406</v>
      </c>
    </row>
    <row r="116" spans="1:20" x14ac:dyDescent="0.35">
      <c r="B116" s="27" t="s">
        <v>143</v>
      </c>
      <c r="C116" s="4" t="s">
        <v>630</v>
      </c>
      <c r="D116" s="22"/>
      <c r="E116" s="25"/>
      <c r="F116" s="13">
        <v>2000</v>
      </c>
      <c r="G116" s="26">
        <f>IF(D116="",0,IF(F116&gt;0,0,IF(E116="A",D116,IF(E116="M",D116*12,IF(E116="W",D116*Lookups!C$9,IF(E116="B",D116*+Lookups!C$10,IF(E116="S",D116*2,IF(AND(D116=0,F116&gt;0),F116,"ERROR"))))))))</f>
        <v>0</v>
      </c>
      <c r="H116" s="22">
        <v>500</v>
      </c>
      <c r="I116" s="25" t="s">
        <v>42</v>
      </c>
      <c r="J116" s="13"/>
      <c r="K116" s="26">
        <f>IF(H116="",0,IF(J116&gt;0,0,IF(I116="A",H116,IF(I116="M",H116*12,IF(I116="W",H116*Lookups!D$9,IF(I116="B",H116*+Lookups!D$10,IF(I116="S",H116*2,IF(AND(H116=0,J116&gt;0),J116,"ERROR"))))))))</f>
        <v>6000</v>
      </c>
      <c r="L116" s="140">
        <f>IF(OR(AND(K116=0,D116=0),J116&gt;0),"",IF(AND(E116="W",I116="W"),ROUND(K116-(D116*Lookups!$C$9),0),ROUND(+K116-G116,0)))</f>
        <v>6000</v>
      </c>
      <c r="M116" s="86" t="str">
        <f t="shared" si="1"/>
        <v>N</v>
      </c>
      <c r="N116" s="132"/>
    </row>
    <row r="117" spans="1:20" x14ac:dyDescent="0.35">
      <c r="B117" s="27" t="s">
        <v>143</v>
      </c>
      <c r="C117" s="4" t="s">
        <v>144</v>
      </c>
      <c r="D117" s="22">
        <v>60</v>
      </c>
      <c r="E117" s="25" t="s">
        <v>41</v>
      </c>
      <c r="F117" s="13"/>
      <c r="G117" s="26">
        <f>IF(D117="",0,IF(F117&gt;0,0,IF(E117="A",D117,IF(E117="M",D117*12,IF(E117="W",D117*Lookups!C$9,IF(E117="B",D117*+Lookups!C$10,IF(E117="S",D117*2,IF(AND(D117=0,F117&gt;0),F117,"ERROR"))))))))</f>
        <v>3120</v>
      </c>
      <c r="H117" s="22">
        <v>60</v>
      </c>
      <c r="I117" s="25" t="s">
        <v>41</v>
      </c>
      <c r="J117" s="13"/>
      <c r="K117" s="26">
        <f>IF(H117="",0,IF(J117&gt;0,0,IF(I117="A",H117,IF(I117="M",H117*12,IF(I117="W",H117*Lookups!D$9,IF(I117="B",H117*+Lookups!D$10,IF(I117="S",H117*2,IF(AND(H117=0,J117&gt;0),J117,"ERROR"))))))))</f>
        <v>3120</v>
      </c>
      <c r="L117" s="140">
        <f>IF(OR(AND(K117=0,D117=0),J117&gt;0),"",IF(AND(E117="W",I117="W"),ROUND(K117-(D117*Lookups!$C$9),0),ROUND(+K117-G117,0)))</f>
        <v>0</v>
      </c>
      <c r="M117" s="86" t="str">
        <f t="shared" si="1"/>
        <v>S</v>
      </c>
      <c r="N117" s="132"/>
      <c r="P117" s="64" t="s">
        <v>459</v>
      </c>
      <c r="Q117" s="64" t="s">
        <v>419</v>
      </c>
      <c r="R117" s="65" t="s">
        <v>396</v>
      </c>
      <c r="S117" s="66">
        <v>53405</v>
      </c>
    </row>
    <row r="118" spans="1:20" ht="58" x14ac:dyDescent="0.35">
      <c r="B118" s="27" t="s">
        <v>145</v>
      </c>
      <c r="C118" s="4" t="s">
        <v>105</v>
      </c>
      <c r="D118" s="22">
        <v>2060</v>
      </c>
      <c r="E118" s="25" t="s">
        <v>38</v>
      </c>
      <c r="F118" s="13"/>
      <c r="G118" s="26">
        <f>IF(D118="",0,IF(F118&gt;0,0,IF(E118="A",D118,IF(E118="M",D118*12,IF(E118="W",D118*Lookups!C$9,IF(E118="B",D118*+Lookups!C$10,IF(E118="S",D118*2,IF(AND(D118=0,F118&gt;0),F118,"ERROR"))))))))</f>
        <v>2060</v>
      </c>
      <c r="H118" s="22">
        <v>5200</v>
      </c>
      <c r="I118" s="25" t="s">
        <v>38</v>
      </c>
      <c r="J118" s="13"/>
      <c r="K118" s="26">
        <f>IF(H118="",0,IF(J118&gt;0,0,IF(I118="A",H118,IF(I118="M",H118*12,IF(I118="W",H118*Lookups!D$9,IF(I118="B",H118*+Lookups!D$10,IF(I118="S",H118*2,IF(AND(H118=0,J118&gt;0),J118,"ERROR"))))))))</f>
        <v>5200</v>
      </c>
      <c r="L118" s="140">
        <f>IF(OR(AND(K118=0,D118=0),J118&gt;0),"",IF(AND(E118="W",I118="W"),ROUND(K118-(D118*Lookups!$C$9),0),ROUND(+K118-G118,0)))</f>
        <v>3140</v>
      </c>
      <c r="M118" s="86" t="str">
        <f t="shared" si="1"/>
        <v>I</v>
      </c>
      <c r="N118" s="143" t="s">
        <v>571</v>
      </c>
      <c r="O118" s="63" t="s">
        <v>569</v>
      </c>
      <c r="P118" s="64" t="s">
        <v>570</v>
      </c>
      <c r="Q118" s="64" t="s">
        <v>419</v>
      </c>
      <c r="R118" s="65" t="s">
        <v>396</v>
      </c>
      <c r="S118" s="66">
        <v>53406</v>
      </c>
    </row>
    <row r="119" spans="1:20" x14ac:dyDescent="0.35">
      <c r="B119" s="27" t="s">
        <v>676</v>
      </c>
      <c r="C119" s="4" t="s">
        <v>322</v>
      </c>
      <c r="D119" s="22"/>
      <c r="E119" s="25"/>
      <c r="F119" s="13"/>
      <c r="G119" s="26">
        <f>IF(D119="",0,IF(F119&gt;0,0,IF(E119="A",D119,IF(E119="M",D119*12,IF(E119="W",D119*Lookups!C$9,IF(E119="B",D119*+Lookups!C$10,IF(E119="S",D119*2,IF(AND(D119=0,F119&gt;0),F119,"ERROR"))))))))</f>
        <v>0</v>
      </c>
      <c r="H119" s="22">
        <v>20</v>
      </c>
      <c r="I119" s="25" t="s">
        <v>41</v>
      </c>
      <c r="J119" s="13"/>
      <c r="K119" s="26">
        <f>IF(H119="",0,IF(J119&gt;0,0,IF(I119="A",H119,IF(I119="M",H119*12,IF(I119="W",H119*Lookups!D$9,IF(I119="B",H119*+Lookups!D$10,IF(I119="S",H119*2,IF(AND(H119=0,J119&gt;0),J119,"ERROR"))))))))</f>
        <v>1040</v>
      </c>
      <c r="L119" s="140">
        <f>IF(OR(AND(K119=0,D119=0),J119&gt;0),"",IF(AND(E119="W",I119="W"),ROUND(K119-(D119*Lookups!$C$9),0),ROUND(+K119-G119,0)))</f>
        <v>1040</v>
      </c>
      <c r="M119" s="86" t="str">
        <f t="shared" ref="M119" si="5">IF(J119&gt;0,"E",IF(L119="","",IF(L119=0,"S",IF(AND(L119&gt;0,NOT(D119=0)),"I",IF(AND(L119&gt;0,D119=0),"N",IF(L119&lt;0,"D","ERROR"))))))</f>
        <v>N</v>
      </c>
      <c r="N119" s="143"/>
      <c r="O119" s="63"/>
    </row>
    <row r="120" spans="1:20" x14ac:dyDescent="0.35">
      <c r="A120" s="144" t="s">
        <v>638</v>
      </c>
      <c r="B120" s="27" t="s">
        <v>284</v>
      </c>
      <c r="C120" s="4" t="s">
        <v>285</v>
      </c>
      <c r="D120" s="22"/>
      <c r="E120" s="25"/>
      <c r="F120" s="13"/>
      <c r="G120" s="26">
        <f>IF(D120="",0,IF(F120&gt;0,0,IF(E120="A",D120,IF(E120="M",D120*12,IF(E120="W",D120*Lookups!C$9,IF(E120="B",D120*+Lookups!C$10,IF(E120="S",D120*2,IF(AND(D120=0,F120&gt;0),F120,"ERROR"))))))))</f>
        <v>0</v>
      </c>
      <c r="H120" s="22"/>
      <c r="I120" s="25"/>
      <c r="J120" s="13"/>
      <c r="K120" s="26">
        <f>IF(H120="",0,IF(J120&gt;0,0,IF(I120="A",H120,IF(I120="M",H120*12,IF(I120="W",H120*Lookups!D$9,IF(I120="B",H120*+Lookups!D$10,IF(I120="S",H120*2,IF(AND(H120=0,J120&gt;0),J120,"ERROR"))))))))</f>
        <v>0</v>
      </c>
      <c r="L120" s="140" t="str">
        <f>IF(OR(AND(K120=0,D120=0),J120&gt;0),"",IF(AND(E120="W",I120="W"),ROUND(K120-(D120*Lookups!$C$9),0),ROUND(+K120-G120,0)))</f>
        <v/>
      </c>
      <c r="M120" s="86" t="str">
        <f t="shared" si="1"/>
        <v/>
      </c>
      <c r="N120" s="132"/>
    </row>
    <row r="121" spans="1:20" x14ac:dyDescent="0.35">
      <c r="B121" s="27" t="s">
        <v>146</v>
      </c>
      <c r="C121" s="4" t="s">
        <v>147</v>
      </c>
      <c r="D121" s="22">
        <v>50</v>
      </c>
      <c r="E121" s="25" t="s">
        <v>42</v>
      </c>
      <c r="F121" s="13"/>
      <c r="G121" s="26">
        <f>IF(D121="",0,IF(F121&gt;0,0,IF(E121="A",D121,IF(E121="M",D121*12,IF(E121="W",D121*Lookups!C$9,IF(E121="B",D121*+Lookups!C$10,IF(E121="S",D121*2,IF(AND(D121=0,F121&gt;0),F121,"ERROR"))))))))</f>
        <v>600</v>
      </c>
      <c r="H121" s="22">
        <v>600</v>
      </c>
      <c r="I121" s="25" t="s">
        <v>38</v>
      </c>
      <c r="J121" s="13"/>
      <c r="K121" s="26">
        <f>IF(H121="",0,IF(J121&gt;0,0,IF(I121="A",H121,IF(I121="M",H121*12,IF(I121="W",H121*Lookups!D$9,IF(I121="B",H121*+Lookups!D$10,IF(I121="S",H121*2,IF(AND(H121=0,J121&gt;0),J121,"ERROR"))))))))</f>
        <v>600</v>
      </c>
      <c r="L121" s="140">
        <f>IF(OR(AND(K121=0,D121=0),J121&gt;0),"",IF(AND(E121="W",I121="W"),ROUND(K121-(D121*Lookups!$C$9),0),ROUND(+K121-G121,0)))</f>
        <v>0</v>
      </c>
      <c r="M121" s="86" t="str">
        <f t="shared" si="1"/>
        <v>S</v>
      </c>
      <c r="N121" s="132"/>
      <c r="P121" s="64" t="s">
        <v>572</v>
      </c>
      <c r="Q121" s="64" t="s">
        <v>419</v>
      </c>
      <c r="R121" s="65" t="s">
        <v>396</v>
      </c>
      <c r="S121" s="66" t="s">
        <v>573</v>
      </c>
    </row>
    <row r="122" spans="1:20" x14ac:dyDescent="0.35">
      <c r="B122" s="27" t="s">
        <v>148</v>
      </c>
      <c r="C122" s="4" t="s">
        <v>149</v>
      </c>
      <c r="D122" s="22">
        <v>25</v>
      </c>
      <c r="E122" s="25" t="s">
        <v>41</v>
      </c>
      <c r="F122" s="13"/>
      <c r="G122" s="26">
        <f>IF(D122="",0,IF(F122&gt;0,0,IF(E122="A",D122,IF(E122="M",D122*12,IF(E122="W",D122*Lookups!C$9,IF(E122="B",D122*+Lookups!C$10,IF(E122="S",D122*2,IF(AND(D122=0,F122&gt;0),F122,"ERROR"))))))))</f>
        <v>1300</v>
      </c>
      <c r="H122" s="22">
        <v>25</v>
      </c>
      <c r="I122" s="25" t="s">
        <v>41</v>
      </c>
      <c r="J122" s="13"/>
      <c r="K122" s="26">
        <f>IF(H122="",0,IF(J122&gt;0,0,IF(I122="A",H122,IF(I122="M",H122*12,IF(I122="W",H122*Lookups!D$9,IF(I122="B",H122*+Lookups!D$10,IF(I122="S",H122*2,IF(AND(H122=0,J122&gt;0),J122,"ERROR"))))))))</f>
        <v>1300</v>
      </c>
      <c r="L122" s="140">
        <f>IF(OR(AND(K122=0,D122=0),J122&gt;0),"",IF(AND(E122="W",I122="W"),ROUND(K122-(D122*Lookups!$C$9),0),ROUND(+K122-G122,0)))</f>
        <v>0</v>
      </c>
      <c r="M122" s="86" t="str">
        <f t="shared" si="1"/>
        <v>S</v>
      </c>
      <c r="N122" s="132"/>
      <c r="O122" s="63" t="s">
        <v>574</v>
      </c>
      <c r="P122" s="64" t="s">
        <v>575</v>
      </c>
      <c r="Q122" s="64" t="s">
        <v>419</v>
      </c>
      <c r="R122" s="65" t="s">
        <v>396</v>
      </c>
      <c r="S122" s="66">
        <v>53402</v>
      </c>
    </row>
    <row r="123" spans="1:20" x14ac:dyDescent="0.35">
      <c r="A123" s="144" t="s">
        <v>638</v>
      </c>
      <c r="B123" s="27" t="s">
        <v>369</v>
      </c>
      <c r="C123" s="4" t="s">
        <v>370</v>
      </c>
      <c r="D123" s="22"/>
      <c r="E123" s="25"/>
      <c r="F123" s="13"/>
      <c r="G123" s="26">
        <f>IF(D123="",0,IF(F123&gt;0,0,IF(E123="A",D123,IF(E123="M",D123*12,IF(E123="W",D123*Lookups!C$9,IF(E123="B",D123*+Lookups!C$10,IF(E123="S",D123*2,IF(AND(D123=0,F123&gt;0),F123,"ERROR"))))))))</f>
        <v>0</v>
      </c>
      <c r="H123" s="22"/>
      <c r="I123" s="25"/>
      <c r="J123" s="13"/>
      <c r="K123" s="26">
        <f>IF(H123="",0,IF(J123&gt;0,0,IF(I123="A",H123,IF(I123="M",H123*12,IF(I123="W",H123*Lookups!D$9,IF(I123="B",H123*+Lookups!D$10,IF(I123="S",H123*2,IF(AND(H123=0,J123&gt;0),J123,"ERROR"))))))))</f>
        <v>0</v>
      </c>
      <c r="L123" s="140" t="str">
        <f>IF(OR(AND(K123=0,D123=0),J123&gt;0),"",IF(AND(E123="W",I123="W"),ROUND(K123-(D123*Lookups!$C$9),0),ROUND(+K123-G123,0)))</f>
        <v/>
      </c>
      <c r="M123" s="86" t="str">
        <f t="shared" si="1"/>
        <v/>
      </c>
      <c r="N123" s="132"/>
    </row>
    <row r="124" spans="1:20" x14ac:dyDescent="0.35">
      <c r="B124" s="27" t="s">
        <v>150</v>
      </c>
      <c r="C124" s="4" t="s">
        <v>286</v>
      </c>
      <c r="D124" s="22"/>
      <c r="E124" s="25"/>
      <c r="F124" s="13">
        <v>900</v>
      </c>
      <c r="G124" s="26">
        <f>IF(D124="",0,IF(F124&gt;0,0,IF(E124="A",D124,IF(E124="M",D124*12,IF(E124="W",D124*Lookups!C$9,IF(E124="B",D124*+Lookups!C$10,IF(E124="S",D124*2,IF(AND(D124=0,F124&gt;0),F124,"ERROR"))))))))</f>
        <v>0</v>
      </c>
      <c r="H124" s="22"/>
      <c r="I124" s="25"/>
      <c r="J124" s="13"/>
      <c r="K124" s="26">
        <f>IF(H124="",0,IF(J124&gt;0,0,IF(I124="A",H124,IF(I124="M",H124*12,IF(I124="W",H124*Lookups!D$9,IF(I124="B",H124*+Lookups!D$10,IF(I124="S",H124*2,IF(AND(H124=0,J124&gt;0),J124,"ERROR"))))))))</f>
        <v>0</v>
      </c>
      <c r="L124" s="140" t="str">
        <f>IF(OR(AND(K124=0,D124=0),J124&gt;0),"",IF(AND(E124="W",I124="W"),ROUND(K124-(D124*Lookups!$C$9),0),ROUND(+K124-G124,0)))</f>
        <v/>
      </c>
      <c r="M124" s="86" t="str">
        <f t="shared" si="1"/>
        <v/>
      </c>
      <c r="N124" s="132"/>
    </row>
    <row r="125" spans="1:20" ht="29" x14ac:dyDescent="0.35">
      <c r="B125" s="24" t="s">
        <v>150</v>
      </c>
      <c r="C125" s="4" t="s">
        <v>151</v>
      </c>
      <c r="D125" s="22">
        <v>150</v>
      </c>
      <c r="E125" s="25" t="s">
        <v>41</v>
      </c>
      <c r="F125" s="13"/>
      <c r="G125" s="26">
        <f>IF(D125="",0,IF(F125&gt;0,0,IF(E125="A",D125,IF(E125="M",D125*12,IF(E125="W",D125*Lookups!C$9,IF(E125="B",D125*+Lookups!C$10,IF(E125="S",D125*2,IF(AND(D125=0,F125&gt;0),F125,"ERROR"))))))))</f>
        <v>7800</v>
      </c>
      <c r="H125" s="22">
        <v>150</v>
      </c>
      <c r="I125" s="25" t="s">
        <v>41</v>
      </c>
      <c r="J125" s="13"/>
      <c r="K125" s="26">
        <f>IF(H125="",0,IF(J125&gt;0,0,IF(I125="A",H125,IF(I125="M",H125*12,IF(I125="W",H125*Lookups!D$9,IF(I125="B",H125*+Lookups!D$10,IF(I125="S",H125*2,IF(AND(H125=0,J125&gt;0),J125,"ERROR"))))))))</f>
        <v>7800</v>
      </c>
      <c r="L125" s="140">
        <f>IF(OR(AND(K125=0,D125=0),J125&gt;0),"",IF(AND(E125="W",I125="W"),ROUND(K125-(D125*Lookups!$C$9),0),ROUND(+K125-G125,0)))</f>
        <v>0</v>
      </c>
      <c r="M125" s="86" t="str">
        <f t="shared" si="1"/>
        <v>S</v>
      </c>
      <c r="N125" s="137" t="s">
        <v>639</v>
      </c>
      <c r="O125" s="63" t="s">
        <v>460</v>
      </c>
      <c r="P125" s="64" t="s">
        <v>461</v>
      </c>
      <c r="Q125" s="64" t="s">
        <v>462</v>
      </c>
      <c r="R125" s="65" t="s">
        <v>396</v>
      </c>
      <c r="S125" s="66">
        <v>53154</v>
      </c>
      <c r="T125" s="64" t="s">
        <v>500</v>
      </c>
    </row>
    <row r="126" spans="1:20" x14ac:dyDescent="0.35">
      <c r="A126" s="144" t="s">
        <v>638</v>
      </c>
      <c r="B126" s="27" t="s">
        <v>287</v>
      </c>
      <c r="C126" s="4" t="s">
        <v>288</v>
      </c>
      <c r="D126" s="22"/>
      <c r="E126" s="25"/>
      <c r="F126" s="13"/>
      <c r="G126" s="26">
        <f>IF(D126="",0,IF(F126&gt;0,0,IF(E126="A",D126,IF(E126="M",D126*12,IF(E126="W",D126*Lookups!C$9,IF(E126="B",D126*+Lookups!C$10,IF(E126="S",D126*2,IF(AND(D126=0,F126&gt;0),F126,"ERROR"))))))))</f>
        <v>0</v>
      </c>
      <c r="H126" s="22"/>
      <c r="I126" s="25"/>
      <c r="J126" s="13"/>
      <c r="K126" s="26">
        <f>IF(H126="",0,IF(J126&gt;0,0,IF(I126="A",H126,IF(I126="M",H126*12,IF(I126="W",H126*Lookups!D$9,IF(I126="B",H126*+Lookups!D$10,IF(I126="S",H126*2,IF(AND(H126=0,J126&gt;0),J126,"ERROR"))))))))</f>
        <v>0</v>
      </c>
      <c r="L126" s="140" t="str">
        <f>IF(OR(AND(K126=0,D126=0),J126&gt;0),"",IF(AND(E126="W",I126="W"),ROUND(K126-(D126*Lookups!$C$9),0),ROUND(+K126-G126,0)))</f>
        <v/>
      </c>
      <c r="M126" s="86" t="str">
        <f t="shared" si="1"/>
        <v/>
      </c>
      <c r="N126" s="132"/>
    </row>
    <row r="127" spans="1:20" x14ac:dyDescent="0.35">
      <c r="B127" s="27" t="s">
        <v>289</v>
      </c>
      <c r="C127" s="4" t="s">
        <v>290</v>
      </c>
      <c r="D127" s="22"/>
      <c r="E127" s="25"/>
      <c r="F127" s="13">
        <v>500</v>
      </c>
      <c r="G127" s="26">
        <f>IF(D127="",0,IF(F127&gt;0,0,IF(E127="A",D127,IF(E127="M",D127*12,IF(E127="W",D127*Lookups!C$9,IF(E127="B",D127*+Lookups!C$10,IF(E127="S",D127*2,IF(AND(D127=0,F127&gt;0),F127,"ERROR"))))))))</f>
        <v>0</v>
      </c>
      <c r="H127" s="22"/>
      <c r="I127" s="25"/>
      <c r="J127" s="13"/>
      <c r="K127" s="26">
        <f>IF(H127="",0,IF(J127&gt;0,0,IF(I127="A",H127,IF(I127="M",H127*12,IF(I127="W",H127*Lookups!D$9,IF(I127="B",H127*+Lookups!D$10,IF(I127="S",H127*2,IF(AND(H127=0,J127&gt;0),J127,"ERROR"))))))))</f>
        <v>0</v>
      </c>
      <c r="L127" s="140" t="str">
        <f>IF(OR(AND(K127=0,D127=0),J127&gt;0),"",IF(AND(E127="W",I127="W"),ROUND(K127-(D127*Lookups!$C$9),0),ROUND(+K127-G127,0)))</f>
        <v/>
      </c>
      <c r="M127" s="86" t="str">
        <f t="shared" si="1"/>
        <v/>
      </c>
      <c r="N127" s="137"/>
    </row>
    <row r="128" spans="1:20" x14ac:dyDescent="0.35">
      <c r="B128" s="27" t="s">
        <v>291</v>
      </c>
      <c r="C128" s="4" t="s">
        <v>292</v>
      </c>
      <c r="D128" s="22"/>
      <c r="E128" s="25"/>
      <c r="F128" s="13"/>
      <c r="G128" s="26">
        <f>IF(D128="",0,IF(F128&gt;0,0,IF(E128="A",D128,IF(E128="M",D128*12,IF(E128="W",D128*Lookups!C$9,IF(E128="B",D128*+Lookups!C$10,IF(E128="S",D128*2,IF(AND(D128=0,F128&gt;0),F128,"ERROR"))))))))</f>
        <v>0</v>
      </c>
      <c r="H128" s="22"/>
      <c r="I128" s="25"/>
      <c r="J128" s="13"/>
      <c r="K128" s="26">
        <f>IF(H128="",0,IF(J128&gt;0,0,IF(I128="A",H128,IF(I128="M",H128*12,IF(I128="W",H128*Lookups!D$9,IF(I128="B",H128*+Lookups!D$10,IF(I128="S",H128*2,IF(AND(H128=0,J128&gt;0),J128,"ERROR"))))))))</f>
        <v>0</v>
      </c>
      <c r="L128" s="140" t="str">
        <f>IF(OR(AND(K128=0,D128=0),J128&gt;0),"",IF(AND(E128="W",I128="W"),ROUND(K128-(D128*Lookups!$C$9),0),ROUND(+K128-G128,0)))</f>
        <v/>
      </c>
      <c r="M128" s="86" t="str">
        <f t="shared" si="1"/>
        <v/>
      </c>
      <c r="N128" s="132"/>
    </row>
    <row r="129" spans="1:19" x14ac:dyDescent="0.35">
      <c r="A129" s="144" t="s">
        <v>638</v>
      </c>
      <c r="B129" s="27" t="s">
        <v>371</v>
      </c>
      <c r="C129" s="4" t="s">
        <v>372</v>
      </c>
      <c r="D129" s="22"/>
      <c r="E129" s="25"/>
      <c r="F129" s="13"/>
      <c r="G129" s="26">
        <f>IF(D129="",0,IF(F129&gt;0,0,IF(E129="A",D129,IF(E129="M",D129*12,IF(E129="W",D129*Lookups!C$9,IF(E129="B",D129*+Lookups!C$10,IF(E129="S",D129*2,IF(AND(D129=0,F129&gt;0),F129,"ERROR"))))))))</f>
        <v>0</v>
      </c>
      <c r="H129" s="22"/>
      <c r="I129" s="25"/>
      <c r="J129" s="13"/>
      <c r="K129" s="26">
        <f>IF(H129="",0,IF(J129&gt;0,0,IF(I129="A",H129,IF(I129="M",H129*12,IF(I129="W",H129*Lookups!D$9,IF(I129="B",H129*+Lookups!D$10,IF(I129="S",H129*2,IF(AND(H129=0,J129&gt;0),J129,"ERROR"))))))))</f>
        <v>0</v>
      </c>
      <c r="L129" s="140" t="str">
        <f>IF(OR(AND(K129=0,D129=0),J129&gt;0),"",IF(AND(E129="W",I129="W"),ROUND(K129-(D129*Lookups!$C$9),0),ROUND(+K129-G129,0)))</f>
        <v/>
      </c>
      <c r="M129" s="86" t="str">
        <f t="shared" si="1"/>
        <v/>
      </c>
      <c r="N129" s="132"/>
    </row>
    <row r="130" spans="1:19" x14ac:dyDescent="0.35">
      <c r="B130" s="27" t="s">
        <v>677</v>
      </c>
      <c r="C130" s="4" t="s">
        <v>678</v>
      </c>
      <c r="D130" s="22"/>
      <c r="E130" s="25"/>
      <c r="F130" s="13"/>
      <c r="G130" s="26">
        <f>IF(D130="",0,IF(F130&gt;0,0,IF(E130="A",D130,IF(E130="M",D130*12,IF(E130="W",D130*Lookups!C$9,IF(E130="B",D130*+Lookups!C$10,IF(E130="S",D130*2,IF(AND(D130=0,F130&gt;0),F130,"ERROR"))))))))</f>
        <v>0</v>
      </c>
      <c r="H130" s="22">
        <v>30</v>
      </c>
      <c r="I130" s="25" t="s">
        <v>42</v>
      </c>
      <c r="J130" s="13"/>
      <c r="K130" s="26">
        <f>IF(H130="",0,IF(J130&gt;0,0,IF(I130="A",H130,IF(I130="M",H130*12,IF(I130="W",H130*Lookups!D$9,IF(I130="B",H130*+Lookups!D$10,IF(I130="S",H130*2,IF(AND(H130=0,J130&gt;0),J130,"ERROR"))))))))</f>
        <v>360</v>
      </c>
      <c r="L130" s="140">
        <f>IF(OR(AND(K130=0,D130=0),J130&gt;0),"",IF(AND(E130="W",I130="W"),ROUND(K130-(D130*Lookups!$C$9),0),ROUND(+K130-G130,0)))</f>
        <v>360</v>
      </c>
      <c r="M130" s="86" t="str">
        <f t="shared" ref="M130" si="6">IF(J130&gt;0,"E",IF(L130="","",IF(L130=0,"S",IF(AND(L130&gt;0,NOT(D130=0)),"I",IF(AND(L130&gt;0,D130=0),"N",IF(L130&lt;0,"D","ERROR"))))))</f>
        <v>N</v>
      </c>
      <c r="N130" s="132"/>
    </row>
    <row r="131" spans="1:19" x14ac:dyDescent="0.35">
      <c r="A131" s="144" t="s">
        <v>638</v>
      </c>
      <c r="B131" s="27" t="s">
        <v>152</v>
      </c>
      <c r="C131" s="4" t="s">
        <v>153</v>
      </c>
      <c r="D131" s="22"/>
      <c r="E131" s="25"/>
      <c r="F131" s="13"/>
      <c r="G131" s="26">
        <f>IF(D131="",0,IF(F131&gt;0,0,IF(E131="A",D131,IF(E131="M",D131*12,IF(E131="W",D131*Lookups!C$9,IF(E131="B",D131*+Lookups!C$10,IF(E131="S",D131*2,IF(AND(D131=0,F131&gt;0),F131,"ERROR"))))))))</f>
        <v>0</v>
      </c>
      <c r="H131" s="22"/>
      <c r="I131" s="25"/>
      <c r="J131" s="13"/>
      <c r="K131" s="26">
        <f>IF(H131="",0,IF(J131&gt;0,0,IF(I131="A",H131,IF(I131="M",H131*12,IF(I131="W",H131*Lookups!D$9,IF(I131="B",H131*+Lookups!D$10,IF(I131="S",H131*2,IF(AND(H131=0,J131&gt;0),J131,"ERROR"))))))))</f>
        <v>0</v>
      </c>
      <c r="L131" s="140" t="str">
        <f>IF(OR(AND(K131=0,D131=0),J131&gt;0),"",IF(AND(E131="W",I131="W"),ROUND(K131-(D131*Lookups!$C$9),0),ROUND(+K131-G131,0)))</f>
        <v/>
      </c>
      <c r="M131" s="86" t="str">
        <f t="shared" si="1"/>
        <v/>
      </c>
      <c r="N131" s="132"/>
    </row>
    <row r="132" spans="1:19" x14ac:dyDescent="0.35">
      <c r="B132" s="27" t="s">
        <v>373</v>
      </c>
      <c r="C132" s="4" t="s">
        <v>26</v>
      </c>
      <c r="D132" s="22">
        <v>75</v>
      </c>
      <c r="E132" s="25" t="s">
        <v>42</v>
      </c>
      <c r="F132" s="13"/>
      <c r="G132" s="26">
        <f>IF(D132="",0,IF(F132&gt;0,0,IF(E132="A",D132,IF(E132="M",D132*12,IF(E132="W",D132*Lookups!C$9,IF(E132="B",D132*+Lookups!C$10,IF(E132="S",D132*2,IF(AND(D132=0,F132&gt;0),F132,"ERROR"))))))))</f>
        <v>900</v>
      </c>
      <c r="H132" s="22">
        <v>80</v>
      </c>
      <c r="I132" s="25" t="s">
        <v>42</v>
      </c>
      <c r="J132" s="13"/>
      <c r="K132" s="26">
        <f>IF(H132="",0,IF(J132&gt;0,0,IF(I132="A",H132,IF(I132="M",H132*12,IF(I132="W",H132*Lookups!D$9,IF(I132="B",H132*+Lookups!D$10,IF(I132="S",H132*2,IF(AND(H132=0,J132&gt;0),J132,"ERROR"))))))))</f>
        <v>960</v>
      </c>
      <c r="L132" s="140">
        <f>IF(OR(AND(K132=0,D132=0),J132&gt;0),"",IF(AND(E132="W",I132="W"),ROUND(K132-(D132*Lookups!$C$9),0),ROUND(+K132-G132,0)))</f>
        <v>60</v>
      </c>
      <c r="M132" s="86" t="str">
        <f t="shared" si="1"/>
        <v>I</v>
      </c>
      <c r="N132" s="132"/>
      <c r="O132" s="63" t="s">
        <v>576</v>
      </c>
      <c r="P132" s="64" t="s">
        <v>577</v>
      </c>
      <c r="Q132" s="64" t="s">
        <v>563</v>
      </c>
      <c r="R132" s="65" t="s">
        <v>396</v>
      </c>
      <c r="S132" s="66">
        <v>53406</v>
      </c>
    </row>
    <row r="133" spans="1:19" x14ac:dyDescent="0.35">
      <c r="B133" s="27" t="s">
        <v>373</v>
      </c>
      <c r="C133" s="4" t="s">
        <v>313</v>
      </c>
      <c r="D133" s="22">
        <v>500</v>
      </c>
      <c r="E133" s="25" t="s">
        <v>42</v>
      </c>
      <c r="F133" s="13"/>
      <c r="G133" s="26">
        <f>IF(D133="",0,IF(F133&gt;0,0,IF(E133="A",D133,IF(E133="M",D133*12,IF(E133="W",D133*Lookups!C$9,IF(E133="B",D133*+Lookups!C$10,IF(E133="S",D133*2,IF(AND(D133=0,F133&gt;0),F133,"ERROR"))))))))</f>
        <v>6000</v>
      </c>
      <c r="H133" s="22">
        <v>550</v>
      </c>
      <c r="I133" s="25" t="s">
        <v>42</v>
      </c>
      <c r="J133" s="13"/>
      <c r="K133" s="26">
        <f>IF(H133="",0,IF(J133&gt;0,0,IF(I133="A",H133,IF(I133="M",H133*12,IF(I133="W",H133*Lookups!D$9,IF(I133="B",H133*+Lookups!D$10,IF(I133="S",H133*2,IF(AND(H133=0,J133&gt;0),J133,"ERROR"))))))))</f>
        <v>6600</v>
      </c>
      <c r="L133" s="140">
        <f>IF(OR(AND(K133=0,D133=0),J133&gt;0),"",IF(AND(E133="W",I133="W"),ROUND(K133-(D133*Lookups!$C$9),0),ROUND(+K133-G133,0)))</f>
        <v>600</v>
      </c>
      <c r="M133" s="86" t="str">
        <f t="shared" si="1"/>
        <v>I</v>
      </c>
      <c r="N133" s="132"/>
      <c r="O133" s="63" t="s">
        <v>578</v>
      </c>
      <c r="P133" s="64" t="s">
        <v>579</v>
      </c>
      <c r="Q133" s="64" t="s">
        <v>419</v>
      </c>
      <c r="R133" s="65" t="s">
        <v>396</v>
      </c>
      <c r="S133" s="66">
        <v>53403</v>
      </c>
    </row>
    <row r="134" spans="1:19" x14ac:dyDescent="0.35">
      <c r="B134" s="24" t="s">
        <v>293</v>
      </c>
      <c r="C134" s="4" t="s">
        <v>294</v>
      </c>
      <c r="D134" s="22"/>
      <c r="E134" s="25"/>
      <c r="F134" s="13">
        <v>2500</v>
      </c>
      <c r="G134" s="26">
        <f>IF(D134="",0,IF(F134&gt;0,0,IF(E134="A",D134,IF(E134="M",D134*12,IF(E134="W",D134*Lookups!C$9,IF(E134="B",D134*+Lookups!C$10,IF(E134="S",D134*2,IF(AND(D134=0,F134&gt;0),F134,"ERROR"))))))))</f>
        <v>0</v>
      </c>
      <c r="H134" s="22"/>
      <c r="I134" s="25"/>
      <c r="J134" s="13"/>
      <c r="K134" s="26">
        <f>IF(H134="",0,IF(J134&gt;0,0,IF(I134="A",H134,IF(I134="M",H134*12,IF(I134="W",H134*Lookups!D$9,IF(I134="B",H134*+Lookups!D$10,IF(I134="S",H134*2,IF(AND(H134=0,J134&gt;0),J134,"ERROR"))))))))</f>
        <v>0</v>
      </c>
      <c r="L134" s="140" t="str">
        <f>IF(OR(AND(K134=0,D134=0),J134&gt;0),"",IF(AND(E134="W",I134="W"),ROUND(K134-(D134*Lookups!$C$9),0),ROUND(+K134-G134,0)))</f>
        <v/>
      </c>
      <c r="M134" s="86" t="str">
        <f t="shared" si="1"/>
        <v/>
      </c>
      <c r="N134" s="132"/>
    </row>
    <row r="135" spans="1:19" x14ac:dyDescent="0.35">
      <c r="B135" s="24" t="s">
        <v>679</v>
      </c>
      <c r="C135" s="4" t="s">
        <v>680</v>
      </c>
      <c r="D135" s="22"/>
      <c r="E135" s="25"/>
      <c r="F135" s="13"/>
      <c r="G135" s="26">
        <f>IF(D135="",0,IF(F135&gt;0,0,IF(E135="A",D135,IF(E135="M",D135*12,IF(E135="W",D135*Lookups!C$9,IF(E135="B",D135*+Lookups!C$10,IF(E135="S",D135*2,IF(AND(D135=0,F135&gt;0),F135,"ERROR"))))))))</f>
        <v>0</v>
      </c>
      <c r="H135" s="22">
        <v>100</v>
      </c>
      <c r="I135" s="25" t="s">
        <v>41</v>
      </c>
      <c r="J135" s="13"/>
      <c r="K135" s="26">
        <f>IF(H135="",0,IF(J135&gt;0,0,IF(I135="A",H135,IF(I135="M",H135*12,IF(I135="W",H135*Lookups!D$9,IF(I135="B",H135*+Lookups!D$10,IF(I135="S",H135*2,IF(AND(H135=0,J135&gt;0),J135,"ERROR"))))))))</f>
        <v>5200</v>
      </c>
      <c r="L135" s="140">
        <f>IF(OR(AND(K135=0,D135=0),J135&gt;0),"",IF(AND(E135="W",I135="W"),ROUND(K135-(D135*Lookups!$C$9),0),ROUND(+K135-G135,0)))</f>
        <v>5200</v>
      </c>
      <c r="M135" s="86" t="str">
        <f t="shared" ref="M135" si="7">IF(J135&gt;0,"E",IF(L135="","",IF(L135=0,"S",IF(AND(L135&gt;0,NOT(D135=0)),"I",IF(AND(L135&gt;0,D135=0),"N",IF(L135&lt;0,"D","ERROR"))))))</f>
        <v>N</v>
      </c>
      <c r="N135" s="132"/>
    </row>
    <row r="136" spans="1:19" x14ac:dyDescent="0.35">
      <c r="B136" s="27" t="s">
        <v>154</v>
      </c>
      <c r="C136" s="4" t="s">
        <v>155</v>
      </c>
      <c r="D136" s="22"/>
      <c r="E136" s="25"/>
      <c r="F136" s="13">
        <v>4000</v>
      </c>
      <c r="G136" s="26">
        <f>IF(D136="",0,IF(F136&gt;0,0,IF(E136="A",D136,IF(E136="M",D136*12,IF(E136="W",D136*Lookups!C$9,IF(E136="B",D136*+Lookups!C$10,IF(E136="S",D136*2,IF(AND(D136=0,F136&gt;0),F136,"ERROR"))))))))</f>
        <v>0</v>
      </c>
      <c r="H136" s="22"/>
      <c r="I136" s="25"/>
      <c r="J136" s="13"/>
      <c r="K136" s="26">
        <f>IF(H136="",0,IF(J136&gt;0,0,IF(I136="A",H136,IF(I136="M",H136*12,IF(I136="W",H136*Lookups!D$9,IF(I136="B",H136*+Lookups!D$10,IF(I136="S",H136*2,IF(AND(H136=0,J136&gt;0),J136,"ERROR"))))))))</f>
        <v>0</v>
      </c>
      <c r="L136" s="140" t="str">
        <f>IF(OR(AND(K136=0,D136=0),J136&gt;0),"",IF(AND(E136="W",I136="W"),ROUND(K136-(D136*Lookups!$C$9),0),ROUND(+K136-G136,0)))</f>
        <v/>
      </c>
      <c r="M136" s="86" t="str">
        <f t="shared" si="1"/>
        <v/>
      </c>
      <c r="N136" s="132"/>
    </row>
    <row r="137" spans="1:19" x14ac:dyDescent="0.35">
      <c r="B137" s="27" t="s">
        <v>374</v>
      </c>
      <c r="C137" s="4" t="s">
        <v>375</v>
      </c>
      <c r="D137" s="22">
        <v>100</v>
      </c>
      <c r="E137" s="25" t="s">
        <v>42</v>
      </c>
      <c r="F137" s="13"/>
      <c r="G137" s="26">
        <f>IF(D137="",0,IF(F137&gt;0,0,IF(E137="A",D137,IF(E137="M",D137*12,IF(E137="W",D137*Lookups!C$9,IF(E137="B",D137*+Lookups!C$10,IF(E137="S",D137*2,IF(AND(D137=0,F137&gt;0),F137,"ERROR"))))))))</f>
        <v>1200</v>
      </c>
      <c r="H137" s="22"/>
      <c r="I137" s="25"/>
      <c r="J137" s="13"/>
      <c r="K137" s="26">
        <f>IF(H137="",0,IF(J137&gt;0,0,IF(I137="A",H137,IF(I137="M",H137*12,IF(I137="W",H137*Lookups!D$9,IF(I137="B",H137*+Lookups!D$10,IF(I137="S",H137*2,IF(AND(H137=0,J137&gt;0),J137,"ERROR"))))))))</f>
        <v>0</v>
      </c>
      <c r="L137" s="140">
        <f>IF(OR(AND(K137=0,D137=0),J137&gt;0),"",IF(AND(E137="W",I137="W"),ROUND(K137-(D137*Lookups!$C$9),0),ROUND(+K137-G137,0)))</f>
        <v>-1200</v>
      </c>
      <c r="M137" s="86" t="str">
        <f t="shared" si="1"/>
        <v>D</v>
      </c>
      <c r="N137" s="132"/>
      <c r="O137" s="63" t="s">
        <v>463</v>
      </c>
      <c r="P137" s="64" t="s">
        <v>464</v>
      </c>
      <c r="Q137" s="64" t="s">
        <v>419</v>
      </c>
      <c r="R137" s="65" t="s">
        <v>396</v>
      </c>
      <c r="S137" s="66">
        <v>53402</v>
      </c>
    </row>
    <row r="138" spans="1:19" x14ac:dyDescent="0.35">
      <c r="B138" s="27" t="s">
        <v>156</v>
      </c>
      <c r="C138" s="4" t="s">
        <v>157</v>
      </c>
      <c r="D138" s="22">
        <v>340</v>
      </c>
      <c r="E138" s="25" t="s">
        <v>42</v>
      </c>
      <c r="F138" s="13"/>
      <c r="G138" s="26">
        <f>IF(D138="",0,IF(F138&gt;0,0,IF(E138="A",D138,IF(E138="M",D138*12,IF(E138="W",D138*Lookups!C$9,IF(E138="B",D138*+Lookups!C$10,IF(E138="S",D138*2,IF(AND(D138=0,F138&gt;0),F138,"ERROR"))))))))</f>
        <v>4080</v>
      </c>
      <c r="H138" s="22">
        <v>350</v>
      </c>
      <c r="I138" s="25" t="s">
        <v>42</v>
      </c>
      <c r="J138" s="13"/>
      <c r="K138" s="26">
        <f>IF(H138="",0,IF(J138&gt;0,0,IF(I138="A",H138,IF(I138="M",H138*12,IF(I138="W",H138*Lookups!D$9,IF(I138="B",H138*+Lookups!D$10,IF(I138="S",H138*2,IF(AND(H138=0,J138&gt;0),J138,"ERROR"))))))))</f>
        <v>4200</v>
      </c>
      <c r="L138" s="140">
        <f>IF(OR(AND(K138=0,D138=0),J138&gt;0),"",IF(AND(E138="W",I138="W"),ROUND(K138-(D138*Lookups!$C$9),0),ROUND(+K138-G138,0)))</f>
        <v>120</v>
      </c>
      <c r="M138" s="86" t="str">
        <f t="shared" si="1"/>
        <v>I</v>
      </c>
      <c r="N138" s="132"/>
      <c r="O138" s="63" t="s">
        <v>465</v>
      </c>
      <c r="P138" s="64" t="s">
        <v>466</v>
      </c>
      <c r="Q138" s="64" t="s">
        <v>419</v>
      </c>
      <c r="R138" s="65" t="s">
        <v>396</v>
      </c>
      <c r="S138" s="66" t="s">
        <v>580</v>
      </c>
    </row>
    <row r="139" spans="1:19" x14ac:dyDescent="0.35">
      <c r="A139" s="144" t="s">
        <v>638</v>
      </c>
      <c r="B139" s="119" t="s">
        <v>295</v>
      </c>
      <c r="C139" s="120" t="s">
        <v>292</v>
      </c>
      <c r="D139" s="122"/>
      <c r="E139" s="124"/>
      <c r="F139" s="121"/>
      <c r="G139" s="123">
        <f>IF(D139="",0,IF(F139&gt;0,0,IF(E139="A",D139,IF(E139="M",D139*12,IF(E139="W",D139*Lookups!C$9,IF(E139="B",D139*+Lookups!C$10,IF(E139="S",D139*2,IF(AND(D139=0,F139&gt;0),F139,"ERROR"))))))))</f>
        <v>0</v>
      </c>
      <c r="H139" s="122"/>
      <c r="I139" s="124"/>
      <c r="J139" s="121"/>
      <c r="K139" s="123">
        <f>IF(H139="",0,IF(J139&gt;0,0,IF(I139="A",H139,IF(I139="M",H139*12,IF(I139="W",H139*Lookups!D$9,IF(I139="B",H139*+Lookups!D$10,IF(I139="S",H139*2,IF(AND(H139=0,J139&gt;0),J139,"ERROR"))))))))</f>
        <v>0</v>
      </c>
      <c r="L139" s="96" t="str">
        <f>IF(OR(AND(K139=0,D139=0),J139&gt;0),"",IF(AND(E139="W",I139="W"),ROUND(K139-(D139*Lookups!$C$9),0),ROUND(+K139-G139,0)))</f>
        <v/>
      </c>
      <c r="M139" s="97" t="str">
        <f t="shared" ref="M139:M207" si="8">IF(J139&gt;0,"E",IF(L139="","",IF(L139=0,"S",IF(AND(L139&gt;0,NOT(D139=0)),"I",IF(AND(L139&gt;0,D139=0),"N",IF(L139&lt;0,"D","ERROR"))))))</f>
        <v/>
      </c>
      <c r="N139" s="133"/>
      <c r="O139" s="125" t="s">
        <v>503</v>
      </c>
      <c r="P139" s="125"/>
      <c r="Q139" s="125"/>
      <c r="R139" s="126"/>
      <c r="S139" s="127"/>
    </row>
    <row r="140" spans="1:19" x14ac:dyDescent="0.35">
      <c r="B140" s="27" t="s">
        <v>158</v>
      </c>
      <c r="C140" s="4" t="s">
        <v>313</v>
      </c>
      <c r="D140" s="22">
        <v>20</v>
      </c>
      <c r="E140" s="25" t="s">
        <v>41</v>
      </c>
      <c r="F140" s="13"/>
      <c r="G140" s="26">
        <f>IF(D140="",0,IF(F140&gt;0,0,IF(E140="A",D140,IF(E140="M",D140*12,IF(E140="W",D140*Lookups!C$9,IF(E140="B",D140*+Lookups!C$10,IF(E140="S",D140*2,IF(AND(D140=0,F140&gt;0),F140,"ERROR"))))))))</f>
        <v>1040</v>
      </c>
      <c r="H140" s="22">
        <v>20</v>
      </c>
      <c r="I140" s="25" t="s">
        <v>41</v>
      </c>
      <c r="J140" s="13"/>
      <c r="K140" s="26">
        <f>IF(H140="",0,IF(J140&gt;0,0,IF(I140="A",H140,IF(I140="M",H140*12,IF(I140="W",H140*Lookups!D$9,IF(I140="B",H140*+Lookups!D$10,IF(I140="S",H140*2,IF(AND(H140=0,J140&gt;0),J140,"ERROR"))))))))</f>
        <v>1040</v>
      </c>
      <c r="L140" s="140">
        <f>IF(OR(AND(K140=0,D140=0),J140&gt;0),"",IF(AND(E140="W",I140="W"),ROUND(K140-(D140*Lookups!$C$9),0),ROUND(+K140-G140,0)))</f>
        <v>0</v>
      </c>
      <c r="M140" s="86" t="str">
        <f t="shared" si="8"/>
        <v>S</v>
      </c>
      <c r="N140" s="132"/>
      <c r="O140" s="63" t="s">
        <v>467</v>
      </c>
      <c r="P140" s="64" t="s">
        <v>468</v>
      </c>
      <c r="Q140" s="64" t="s">
        <v>401</v>
      </c>
      <c r="R140" s="65" t="s">
        <v>396</v>
      </c>
      <c r="S140" s="66">
        <v>53126</v>
      </c>
    </row>
    <row r="141" spans="1:19" x14ac:dyDescent="0.35">
      <c r="B141" s="27" t="s">
        <v>631</v>
      </c>
      <c r="C141" s="4" t="s">
        <v>632</v>
      </c>
      <c r="D141" s="22"/>
      <c r="E141" s="25"/>
      <c r="F141" s="13"/>
      <c r="G141" s="26">
        <f>IF(D141="",0,IF(F141&gt;0,0,IF(E141="A",D141,IF(E141="M",D141*12,IF(E141="W",D141*Lookups!C$9,IF(E141="B",D141*+Lookups!C$10,IF(E141="S",D141*2,IF(AND(D141=0,F141&gt;0),F141,"ERROR"))))))))</f>
        <v>0</v>
      </c>
      <c r="H141" s="22"/>
      <c r="I141" s="25"/>
      <c r="J141" s="13"/>
      <c r="K141" s="26">
        <f>IF(H141="",0,IF(J141&gt;0,0,IF(I141="A",H141,IF(I141="M",H141*12,IF(I141="W",H141*Lookups!D$9,IF(I141="B",H141*+Lookups!D$10,IF(I141="S",H141*2,IF(AND(H141=0,J141&gt;0),J141,"ERROR"))))))))</f>
        <v>0</v>
      </c>
      <c r="L141" s="140" t="str">
        <f>IF(OR(AND(K141=0,D141=0),J141&gt;0),"",IF(AND(E141="W",I141="W"),ROUND(K141-(D141*Lookups!$C$9),0),ROUND(+K141-G141,0)))</f>
        <v/>
      </c>
      <c r="M141" s="86" t="str">
        <f t="shared" si="8"/>
        <v/>
      </c>
      <c r="N141" s="132"/>
      <c r="O141" s="63"/>
    </row>
    <row r="142" spans="1:19" x14ac:dyDescent="0.35">
      <c r="B142" s="27" t="s">
        <v>159</v>
      </c>
      <c r="C142" s="4" t="s">
        <v>160</v>
      </c>
      <c r="D142" s="22">
        <v>9</v>
      </c>
      <c r="E142" s="25" t="s">
        <v>41</v>
      </c>
      <c r="F142" s="13"/>
      <c r="G142" s="26">
        <f>IF(D142="",0,IF(F142&gt;0,0,IF(E142="A",D142,IF(E142="M",D142*12,IF(E142="W",D142*Lookups!C$9,IF(E142="B",D142*+Lookups!C$10,IF(E142="S",D142*2,IF(AND(D142=0,F142&gt;0),F142,"ERROR"))))))))</f>
        <v>468</v>
      </c>
      <c r="H142" s="22">
        <v>9</v>
      </c>
      <c r="I142" s="25" t="s">
        <v>41</v>
      </c>
      <c r="J142" s="13"/>
      <c r="K142" s="26">
        <f>IF(H142="",0,IF(J142&gt;0,0,IF(I142="A",H142,IF(I142="M",H142*12,IF(I142="W",H142*Lookups!D$9,IF(I142="B",H142*+Lookups!D$10,IF(I142="S",H142*2,IF(AND(H142=0,J142&gt;0),J142,"ERROR"))))))))</f>
        <v>468</v>
      </c>
      <c r="L142" s="140">
        <f>IF(OR(AND(K142=0,D142=0),J142&gt;0),"",IF(AND(E142="W",I142="W"),ROUND(K142-(D142*Lookups!$C$9),0),ROUND(+K142-G142,0)))</f>
        <v>0</v>
      </c>
      <c r="M142" s="86" t="str">
        <f t="shared" si="8"/>
        <v>S</v>
      </c>
      <c r="N142" s="132"/>
      <c r="O142" s="63" t="s">
        <v>469</v>
      </c>
      <c r="P142" s="64" t="s">
        <v>470</v>
      </c>
      <c r="Q142" s="64" t="s">
        <v>419</v>
      </c>
      <c r="R142" s="65" t="s">
        <v>396</v>
      </c>
      <c r="S142" s="66">
        <v>53406</v>
      </c>
    </row>
    <row r="143" spans="1:19" ht="29" x14ac:dyDescent="0.35">
      <c r="B143" s="24" t="s">
        <v>161</v>
      </c>
      <c r="C143" s="4" t="s">
        <v>162</v>
      </c>
      <c r="D143" s="22">
        <v>300</v>
      </c>
      <c r="E143" s="25" t="s">
        <v>42</v>
      </c>
      <c r="F143" s="13"/>
      <c r="G143" s="26">
        <f>IF(D143="",0,IF(F143&gt;0,0,IF(E143="A",D143,IF(E143="M",D143*12,IF(E143="W",D143*Lookups!C$9,IF(E143="B",D143*+Lookups!C$10,IF(E143="S",D143*2,IF(AND(D143=0,F143&gt;0),F143,"ERROR"))))))))</f>
        <v>3600</v>
      </c>
      <c r="H143" s="22">
        <v>300</v>
      </c>
      <c r="I143" s="25" t="s">
        <v>42</v>
      </c>
      <c r="J143" s="13"/>
      <c r="K143" s="26">
        <f>IF(H143="",0,IF(J143&gt;0,0,IF(I143="A",H143,IF(I143="M",H143*12,IF(I143="W",H143*Lookups!D$9,IF(I143="B",H143*+Lookups!D$10,IF(I143="S",H143*2,IF(AND(H143=0,J143&gt;0),J143,"ERROR"))))))))</f>
        <v>3600</v>
      </c>
      <c r="L143" s="140">
        <f>IF(OR(AND(K143=0,D143=0),J143&gt;0),"",IF(AND(E143="W",I143="W"),ROUND(K143-(D143*Lookups!$C$9),0),ROUND(+K143-G143,0)))</f>
        <v>0</v>
      </c>
      <c r="M143" s="86" t="str">
        <f t="shared" si="8"/>
        <v>S</v>
      </c>
      <c r="N143" s="137" t="s">
        <v>583</v>
      </c>
      <c r="O143" s="63" t="s">
        <v>581</v>
      </c>
      <c r="P143" s="64" t="s">
        <v>582</v>
      </c>
      <c r="Q143" s="64" t="s">
        <v>419</v>
      </c>
      <c r="R143" s="65" t="s">
        <v>396</v>
      </c>
      <c r="S143" s="66">
        <v>53405</v>
      </c>
    </row>
    <row r="144" spans="1:19" x14ac:dyDescent="0.35">
      <c r="B144" s="27" t="s">
        <v>163</v>
      </c>
      <c r="C144" s="4" t="s">
        <v>296</v>
      </c>
      <c r="D144" s="22"/>
      <c r="E144" s="25"/>
      <c r="F144" s="13"/>
      <c r="G144" s="26">
        <f>IF(D144="",0,IF(F144&gt;0,0,IF(E144="A",D144,IF(E144="M",D144*12,IF(E144="W",D144*Lookups!C$9,IF(E144="B",D144*+Lookups!C$10,IF(E144="S",D144*2,IF(AND(D144=0,F144&gt;0),F144,"ERROR"))))))))</f>
        <v>0</v>
      </c>
      <c r="H144" s="22"/>
      <c r="I144" s="25"/>
      <c r="J144" s="13"/>
      <c r="K144" s="26">
        <f>IF(H144="",0,IF(J144&gt;0,0,IF(I144="A",H144,IF(I144="M",H144*12,IF(I144="W",H144*Lookups!D$9,IF(I144="B",H144*+Lookups!D$10,IF(I144="S",H144*2,IF(AND(H144=0,J144&gt;0),J144,"ERROR"))))))))</f>
        <v>0</v>
      </c>
      <c r="L144" s="140" t="str">
        <f>IF(OR(AND(K144=0,D144=0),J144&gt;0),"",IF(AND(E144="W",I144="W"),ROUND(K144-(D144*Lookups!$C$9),0),ROUND(+K144-G144,0)))</f>
        <v/>
      </c>
      <c r="M144" s="86" t="str">
        <f t="shared" si="8"/>
        <v/>
      </c>
      <c r="N144" s="132"/>
    </row>
    <row r="145" spans="1:19" x14ac:dyDescent="0.35">
      <c r="B145" s="27" t="s">
        <v>163</v>
      </c>
      <c r="C145" s="4" t="s">
        <v>471</v>
      </c>
      <c r="D145" s="22">
        <v>430</v>
      </c>
      <c r="E145" s="25" t="s">
        <v>42</v>
      </c>
      <c r="F145" s="13"/>
      <c r="G145" s="26">
        <f>IF(D145="",0,IF(F145&gt;0,0,IF(E145="A",D145,IF(E145="M",D145*12,IF(E145="W",D145*Lookups!C$9,IF(E145="B",D145*+Lookups!C$10,IF(E145="S",D145*2,IF(AND(D145=0,F145&gt;0),F145,"ERROR"))))))))</f>
        <v>5160</v>
      </c>
      <c r="H145" s="22">
        <v>430</v>
      </c>
      <c r="I145" s="25" t="s">
        <v>42</v>
      </c>
      <c r="J145" s="13"/>
      <c r="K145" s="26">
        <f>IF(H145="",0,IF(J145&gt;0,0,IF(I145="A",H145,IF(I145="M",H145*12,IF(I145="W",H145*Lookups!D$9,IF(I145="B",H145*+Lookups!D$10,IF(I145="S",H145*2,IF(AND(H145=0,J145&gt;0),J145,"ERROR"))))))))</f>
        <v>5160</v>
      </c>
      <c r="L145" s="140">
        <f>IF(OR(AND(K145=0,D145=0),J145&gt;0),"",IF(AND(E145="W",I145="W"),ROUND(K145-(D145*Lookups!$C$9),0),ROUND(+K145-G145,0)))</f>
        <v>0</v>
      </c>
      <c r="M145" s="86" t="str">
        <f t="shared" si="8"/>
        <v>S</v>
      </c>
      <c r="N145" s="132"/>
      <c r="O145" s="63" t="s">
        <v>472</v>
      </c>
      <c r="P145" s="64" t="s">
        <v>473</v>
      </c>
      <c r="Q145" s="64" t="s">
        <v>413</v>
      </c>
      <c r="R145" s="65" t="s">
        <v>396</v>
      </c>
      <c r="S145" s="66">
        <v>53108</v>
      </c>
    </row>
    <row r="146" spans="1:19" x14ac:dyDescent="0.35">
      <c r="A146" s="144" t="s">
        <v>638</v>
      </c>
      <c r="B146" s="27" t="s">
        <v>163</v>
      </c>
      <c r="C146" s="4" t="s">
        <v>297</v>
      </c>
      <c r="D146" s="22"/>
      <c r="E146" s="25"/>
      <c r="F146" s="13"/>
      <c r="G146" s="26">
        <f>IF(D146="",0,IF(F146&gt;0,0,IF(E146="A",D146,IF(E146="M",D146*12,IF(E146="W",D146*Lookups!C$9,IF(E146="B",D146*+Lookups!C$10,IF(E146="S",D146*2,IF(AND(D146=0,F146&gt;0),F146,"ERROR"))))))))</f>
        <v>0</v>
      </c>
      <c r="H146" s="22"/>
      <c r="I146" s="25"/>
      <c r="J146" s="13"/>
      <c r="K146" s="26">
        <f>IF(H146="",0,IF(J146&gt;0,0,IF(I146="A",H146,IF(I146="M",H146*12,IF(I146="W",H146*Lookups!D$9,IF(I146="B",H146*+Lookups!D$10,IF(I146="S",H146*2,IF(AND(H146=0,J146&gt;0),J146,"ERROR"))))))))</f>
        <v>0</v>
      </c>
      <c r="L146" s="140" t="str">
        <f>IF(OR(AND(K146=0,D146=0),J146&gt;0),"",IF(AND(E146="W",I146="W"),ROUND(K146-(D146*Lookups!$C$9),0),ROUND(+K146-G146,0)))</f>
        <v/>
      </c>
      <c r="M146" s="86" t="str">
        <f t="shared" si="8"/>
        <v/>
      </c>
      <c r="N146" s="132"/>
    </row>
    <row r="147" spans="1:19" x14ac:dyDescent="0.35">
      <c r="A147" s="144" t="s">
        <v>638</v>
      </c>
      <c r="B147" s="27" t="s">
        <v>163</v>
      </c>
      <c r="C147" s="4" t="s">
        <v>298</v>
      </c>
      <c r="D147" s="22"/>
      <c r="E147" s="25"/>
      <c r="F147" s="13"/>
      <c r="G147" s="26">
        <f>IF(D147="",0,IF(F147&gt;0,0,IF(E147="A",D147,IF(E147="M",D147*12,IF(E147="W",D147*Lookups!C$9,IF(E147="B",D147*+Lookups!C$10,IF(E147="S",D147*2,IF(AND(D147=0,F147&gt;0),F147,"ERROR"))))))))</f>
        <v>0</v>
      </c>
      <c r="H147" s="22"/>
      <c r="I147" s="25"/>
      <c r="J147" s="13"/>
      <c r="K147" s="26">
        <f>IF(H147="",0,IF(J147&gt;0,0,IF(I147="A",H147,IF(I147="M",H147*12,IF(I147="W",H147*Lookups!D$9,IF(I147="B",H147*+Lookups!D$10,IF(I147="S",H147*2,IF(AND(H147=0,J147&gt;0),J147,"ERROR"))))))))</f>
        <v>0</v>
      </c>
      <c r="L147" s="140" t="str">
        <f>IF(OR(AND(K147=0,D147=0),J147&gt;0),"",IF(AND(E147="W",I147="W"),ROUND(K147-(D147*Lookups!$C$9),0),ROUND(+K147-G147,0)))</f>
        <v/>
      </c>
      <c r="M147" s="86" t="str">
        <f t="shared" si="8"/>
        <v/>
      </c>
      <c r="N147" s="132"/>
    </row>
    <row r="148" spans="1:19" x14ac:dyDescent="0.35">
      <c r="B148" s="27" t="s">
        <v>681</v>
      </c>
      <c r="C148" s="4" t="s">
        <v>682</v>
      </c>
      <c r="D148" s="22"/>
      <c r="E148" s="25"/>
      <c r="F148" s="13"/>
      <c r="G148" s="26">
        <f>IF(D148="",0,IF(F148&gt;0,0,IF(E148="A",D148,IF(E148="M",D148*12,IF(E148="W",D148*Lookups!C$9,IF(E148="B",D148*+Lookups!C$10,IF(E148="S",D148*2,IF(AND(D148=0,F148&gt;0),F148,"ERROR"))))))))</f>
        <v>0</v>
      </c>
      <c r="H148" s="22">
        <v>300</v>
      </c>
      <c r="I148" s="25" t="s">
        <v>42</v>
      </c>
      <c r="J148" s="13"/>
      <c r="K148" s="26">
        <f>IF(H148="",0,IF(J148&gt;0,0,IF(I148="A",H148,IF(I148="M",H148*12,IF(I148="W",H148*Lookups!D$9,IF(I148="B",H148*+Lookups!D$10,IF(I148="S",H148*2,IF(AND(H148=0,J148&gt;0),J148,"ERROR"))))))))</f>
        <v>3600</v>
      </c>
      <c r="L148" s="140">
        <f>IF(OR(AND(K148=0,D148=0),J148&gt;0),"",IF(AND(E148="W",I148="W"),ROUND(K148-(D148*Lookups!$C$9),0),ROUND(+K148-G148,0)))</f>
        <v>3600</v>
      </c>
      <c r="M148" s="86" t="str">
        <f t="shared" ref="M148" si="9">IF(J148&gt;0,"E",IF(L148="","",IF(L148=0,"S",IF(AND(L148&gt;0,NOT(D148=0)),"I",IF(AND(L148&gt;0,D148=0),"N",IF(L148&lt;0,"D","ERROR"))))))</f>
        <v>N</v>
      </c>
      <c r="N148" s="132"/>
    </row>
    <row r="149" spans="1:19" x14ac:dyDescent="0.35">
      <c r="A149" s="144" t="s">
        <v>638</v>
      </c>
      <c r="B149" s="27" t="s">
        <v>299</v>
      </c>
      <c r="C149" s="4" t="s">
        <v>300</v>
      </c>
      <c r="D149" s="22"/>
      <c r="E149" s="25"/>
      <c r="F149" s="13"/>
      <c r="G149" s="26">
        <f>IF(D149="",0,IF(F149&gt;0,0,IF(E149="A",D149,IF(E149="M",D149*12,IF(E149="W",D149*Lookups!C$9,IF(E149="B",D149*+Lookups!C$10,IF(E149="S",D149*2,IF(AND(D149=0,F149&gt;0),F149,"ERROR"))))))))</f>
        <v>0</v>
      </c>
      <c r="H149" s="22"/>
      <c r="I149" s="25"/>
      <c r="J149" s="13"/>
      <c r="K149" s="26">
        <f>IF(H149="",0,IF(J149&gt;0,0,IF(I149="A",H149,IF(I149="M",H149*12,IF(I149="W",H149*Lookups!D$9,IF(I149="B",H149*+Lookups!D$10,IF(I149="S",H149*2,IF(AND(H149=0,J149&gt;0),J149,"ERROR"))))))))</f>
        <v>0</v>
      </c>
      <c r="L149" s="140" t="str">
        <f>IF(OR(AND(K149=0,D149=0),J149&gt;0),"",IF(AND(E149="W",I149="W"),ROUND(K149-(D149*Lookups!$C$9),0),ROUND(+K149-G149,0)))</f>
        <v/>
      </c>
      <c r="M149" s="86" t="str">
        <f t="shared" si="8"/>
        <v/>
      </c>
      <c r="N149" s="132"/>
    </row>
    <row r="150" spans="1:19" x14ac:dyDescent="0.35">
      <c r="B150" s="24" t="s">
        <v>301</v>
      </c>
      <c r="C150" s="4" t="s">
        <v>302</v>
      </c>
      <c r="D150" s="22"/>
      <c r="E150" s="25"/>
      <c r="F150" s="13">
        <v>5000</v>
      </c>
      <c r="G150" s="26">
        <f>IF(D150="",0,IF(F150&gt;0,0,IF(E150="A",D150,IF(E150="M",D150*12,IF(E150="W",D150*Lookups!C$9,IF(E150="B",D150*+Lookups!C$10,IF(E150="S",D150*2,IF(AND(D150=0,F150&gt;0),F150,"ERROR"))))))))</f>
        <v>0</v>
      </c>
      <c r="H150" s="22"/>
      <c r="I150" s="25"/>
      <c r="J150" s="13"/>
      <c r="K150" s="26">
        <f>IF(H150="",0,IF(J150&gt;0,0,IF(I150="A",H150,IF(I150="M",H150*12,IF(I150="W",H150*Lookups!D$9,IF(I150="B",H150*+Lookups!D$10,IF(I150="S",H150*2,IF(AND(H150=0,J150&gt;0),J150,"ERROR"))))))))</f>
        <v>0</v>
      </c>
      <c r="L150" s="140" t="str">
        <f>IF(OR(AND(K150=0,D150=0),J150&gt;0),"",IF(AND(E150="W",I150="W"),ROUND(K150-(D150*Lookups!$C$9),0),ROUND(+K150-G150,0)))</f>
        <v/>
      </c>
      <c r="M150" s="86" t="str">
        <f t="shared" si="8"/>
        <v/>
      </c>
      <c r="N150" s="132"/>
      <c r="O150" s="68" t="s">
        <v>393</v>
      </c>
      <c r="P150" s="64" t="s">
        <v>394</v>
      </c>
      <c r="Q150" s="64" t="s">
        <v>395</v>
      </c>
      <c r="R150" s="65" t="s">
        <v>396</v>
      </c>
      <c r="S150" s="66">
        <v>53406</v>
      </c>
    </row>
    <row r="151" spans="1:19" x14ac:dyDescent="0.35">
      <c r="B151" s="27" t="s">
        <v>303</v>
      </c>
      <c r="C151" s="4" t="s">
        <v>304</v>
      </c>
      <c r="D151" s="22"/>
      <c r="E151" s="25"/>
      <c r="F151" s="13"/>
      <c r="G151" s="26">
        <f>IF(D151="",0,IF(F151&gt;0,0,IF(E151="A",D151,IF(E151="M",D151*12,IF(E151="W",D151*Lookups!C$9,IF(E151="B",D151*+Lookups!C$10,IF(E151="S",D151*2,IF(AND(D151=0,F151&gt;0),F151,"ERROR"))))))))</f>
        <v>0</v>
      </c>
      <c r="H151" s="22"/>
      <c r="I151" s="25"/>
      <c r="J151" s="13"/>
      <c r="K151" s="26">
        <f>IF(H151="",0,IF(J151&gt;0,0,IF(I151="A",H151,IF(I151="M",H151*12,IF(I151="W",H151*Lookups!D$9,IF(I151="B",H151*+Lookups!D$10,IF(I151="S",H151*2,IF(AND(H151=0,J151&gt;0),J151,"ERROR"))))))))</f>
        <v>0</v>
      </c>
      <c r="L151" s="140" t="str">
        <f>IF(OR(AND(K151=0,D151=0),J151&gt;0),"",IF(AND(E151="W",I151="W"),ROUND(K151-(D151*Lookups!$C$9),0),ROUND(+K151-G151,0)))</f>
        <v/>
      </c>
      <c r="M151" s="86" t="str">
        <f t="shared" si="8"/>
        <v/>
      </c>
      <c r="N151" s="132"/>
    </row>
    <row r="152" spans="1:19" x14ac:dyDescent="0.35">
      <c r="B152" s="27" t="s">
        <v>305</v>
      </c>
      <c r="C152" s="4" t="s">
        <v>306</v>
      </c>
      <c r="D152" s="22">
        <v>50</v>
      </c>
      <c r="E152" s="25" t="s">
        <v>41</v>
      </c>
      <c r="F152" s="13"/>
      <c r="G152" s="26">
        <f>IF(D152="",0,IF(F152&gt;0,0,IF(E152="A",D152,IF(E152="M",D152*12,IF(E152="W",D152*Lookups!C$9,IF(E152="B",D152*+Lookups!C$10,IF(E152="S",D152*2,IF(AND(D152=0,F152&gt;0),F152,"ERROR"))))))))</f>
        <v>2600</v>
      </c>
      <c r="H152" s="22">
        <v>50</v>
      </c>
      <c r="I152" s="25" t="s">
        <v>41</v>
      </c>
      <c r="J152" s="13"/>
      <c r="K152" s="26">
        <f>IF(H152="",0,IF(J152&gt;0,0,IF(I152="A",H152,IF(I152="M",H152*12,IF(I152="W",H152*Lookups!D$9,IF(I152="B",H152*+Lookups!D$10,IF(I152="S",H152*2,IF(AND(H152=0,J152&gt;0),J152,"ERROR"))))))))</f>
        <v>2600</v>
      </c>
      <c r="L152" s="140">
        <f>IF(OR(AND(K152=0,D152=0),J152&gt;0),"",IF(AND(E152="W",I152="W"),ROUND(K152-(D152*Lookups!$C$9),0),ROUND(+K152-G152,0)))</f>
        <v>0</v>
      </c>
      <c r="M152" s="86" t="str">
        <f t="shared" si="8"/>
        <v>S</v>
      </c>
      <c r="N152" s="132"/>
      <c r="O152" s="63" t="s">
        <v>584</v>
      </c>
      <c r="P152" s="64" t="s">
        <v>590</v>
      </c>
      <c r="Q152" s="64" t="s">
        <v>419</v>
      </c>
      <c r="R152" s="65" t="s">
        <v>396</v>
      </c>
      <c r="S152" s="66">
        <v>53403</v>
      </c>
    </row>
    <row r="153" spans="1:19" x14ac:dyDescent="0.35">
      <c r="B153" s="27" t="s">
        <v>164</v>
      </c>
      <c r="C153" s="4" t="s">
        <v>165</v>
      </c>
      <c r="D153" s="22">
        <v>175</v>
      </c>
      <c r="E153" s="25" t="s">
        <v>41</v>
      </c>
      <c r="F153" s="13"/>
      <c r="G153" s="26">
        <f>IF(D153="",0,IF(F153&gt;0,0,IF(E153="A",D153,IF(E153="M",D153*12,IF(E153="W",D153*Lookups!C$9,IF(E153="B",D153*+Lookups!C$10,IF(E153="S",D153*2,IF(AND(D153=0,F153&gt;0),F153,"ERROR"))))))))</f>
        <v>9100</v>
      </c>
      <c r="H153" s="22"/>
      <c r="I153" s="25"/>
      <c r="J153" s="13"/>
      <c r="K153" s="26">
        <f>IF(H153="",0,IF(J153&gt;0,0,IF(I153="A",H153,IF(I153="M",H153*12,IF(I153="W",H153*Lookups!D$9,IF(I153="B",H153*+Lookups!D$10,IF(I153="S",H153*2,IF(AND(H153=0,J153&gt;0),J153,"ERROR"))))))))</f>
        <v>0</v>
      </c>
      <c r="L153" s="140">
        <f>IF(OR(AND(K153=0,D153=0),J153&gt;0),"",IF(AND(E153="W",I153="W"),ROUND(K153-(D153*Lookups!$C$9),0),ROUND(+K153-G153,0)))</f>
        <v>-9100</v>
      </c>
      <c r="M153" s="86" t="str">
        <f t="shared" si="8"/>
        <v>D</v>
      </c>
      <c r="N153" s="132"/>
      <c r="O153" s="63" t="s">
        <v>474</v>
      </c>
      <c r="P153" s="64" t="s">
        <v>475</v>
      </c>
      <c r="Q153" s="64" t="s">
        <v>395</v>
      </c>
      <c r="R153" s="65" t="s">
        <v>396</v>
      </c>
      <c r="S153" s="66">
        <v>53406</v>
      </c>
    </row>
    <row r="154" spans="1:19" x14ac:dyDescent="0.35">
      <c r="B154" s="24" t="s">
        <v>164</v>
      </c>
      <c r="C154" s="4" t="s">
        <v>166</v>
      </c>
      <c r="D154" s="22">
        <v>60</v>
      </c>
      <c r="E154" s="25" t="s">
        <v>41</v>
      </c>
      <c r="F154" s="13"/>
      <c r="G154" s="26">
        <f>IF(D154="",0,IF(F154&gt;0,0,IF(E154="A",D154,IF(E154="M",D154*12,IF(E154="W",D154*Lookups!C$9,IF(E154="B",D154*+Lookups!C$10,IF(E154="S",D154*2,IF(AND(D154=0,F154&gt;0),F154,"ERROR"))))))))</f>
        <v>3120</v>
      </c>
      <c r="H154" s="22">
        <v>65</v>
      </c>
      <c r="I154" s="25" t="s">
        <v>41</v>
      </c>
      <c r="J154" s="13"/>
      <c r="K154" s="26">
        <f>IF(H154="",0,IF(J154&gt;0,0,IF(I154="A",H154,IF(I154="M",H154*12,IF(I154="W",H154*Lookups!D$9,IF(I154="B",H154*+Lookups!D$10,IF(I154="S",H154*2,IF(AND(H154=0,J154&gt;0),J154,"ERROR"))))))))</f>
        <v>3380</v>
      </c>
      <c r="L154" s="140">
        <f>IF(OR(AND(K154=0,D154=0),J154&gt;0),"",IF(AND(E154="W",I154="W"),ROUND(K154-(D154*Lookups!$C$9),0),ROUND(+K154-G154,0)))</f>
        <v>260</v>
      </c>
      <c r="M154" s="86" t="str">
        <f t="shared" si="8"/>
        <v>I</v>
      </c>
      <c r="N154" s="132"/>
      <c r="O154" s="63" t="s">
        <v>476</v>
      </c>
      <c r="P154" s="64" t="s">
        <v>477</v>
      </c>
      <c r="Q154" s="64" t="s">
        <v>395</v>
      </c>
      <c r="R154" s="65" t="s">
        <v>396</v>
      </c>
      <c r="S154" s="66">
        <v>53406</v>
      </c>
    </row>
    <row r="155" spans="1:19" x14ac:dyDescent="0.35">
      <c r="A155" s="144" t="s">
        <v>638</v>
      </c>
      <c r="B155" s="90" t="s">
        <v>307</v>
      </c>
      <c r="C155" s="91" t="s">
        <v>376</v>
      </c>
      <c r="D155" s="93"/>
      <c r="E155" s="95"/>
      <c r="F155" s="92"/>
      <c r="G155" s="94">
        <f>IF(D155="",0,IF(F155&gt;0,0,IF(E155="A",D155,IF(E155="M",D155*12,IF(E155="W",D155*Lookups!C$9,IF(E155="B",D155*+Lookups!C$10,IF(E155="S",D155*2,IF(AND(D155=0,F155&gt;0),F155,"ERROR"))))))))</f>
        <v>0</v>
      </c>
      <c r="H155" s="93"/>
      <c r="I155" s="95"/>
      <c r="J155" s="92"/>
      <c r="K155" s="94">
        <f>IF(H155="",0,IF(J155&gt;0,0,IF(I155="A",H155,IF(I155="M",H155*12,IF(I155="W",H155*Lookups!D$9,IF(I155="B",H155*+Lookups!D$10,IF(I155="S",H155*2,IF(AND(H155=0,J155&gt;0),J155,"ERROR"))))))))</f>
        <v>0</v>
      </c>
      <c r="L155" s="96" t="str">
        <f>IF(OR(AND(K155=0,D155=0),J155&gt;0),"",IF(AND(E155="W",I155="W"),ROUND(K155-(D155*Lookups!$C$9),0),ROUND(+K155-G155,0)))</f>
        <v/>
      </c>
      <c r="M155" s="97" t="str">
        <f t="shared" si="8"/>
        <v/>
      </c>
      <c r="N155" s="135" t="s">
        <v>506</v>
      </c>
      <c r="O155" s="98"/>
      <c r="P155" s="98"/>
      <c r="Q155" s="98"/>
      <c r="R155" s="99"/>
      <c r="S155" s="100"/>
    </row>
    <row r="156" spans="1:19" x14ac:dyDescent="0.35">
      <c r="A156" s="144" t="s">
        <v>638</v>
      </c>
      <c r="B156" s="27" t="s">
        <v>307</v>
      </c>
      <c r="C156" s="4" t="s">
        <v>178</v>
      </c>
      <c r="D156" s="22"/>
      <c r="E156" s="25"/>
      <c r="F156" s="13"/>
      <c r="G156" s="26">
        <f>IF(D156="",0,IF(F156&gt;0,0,IF(E156="A",D156,IF(E156="M",D156*12,IF(E156="W",D156*Lookups!C$9,IF(E156="B",D156*+Lookups!C$10,IF(E156="S",D156*2,IF(AND(D156=0,F156&gt;0),F156,"ERROR"))))))))</f>
        <v>0</v>
      </c>
      <c r="H156" s="22"/>
      <c r="I156" s="25"/>
      <c r="J156" s="13"/>
      <c r="K156" s="26">
        <f>IF(H156="",0,IF(J156&gt;0,0,IF(I156="A",H156,IF(I156="M",H156*12,IF(I156="W",H156*Lookups!D$9,IF(I156="B",H156*+Lookups!D$10,IF(I156="S",H156*2,IF(AND(H156=0,J156&gt;0),J156,"ERROR"))))))))</f>
        <v>0</v>
      </c>
      <c r="L156" s="140" t="str">
        <f>IF(OR(AND(K156=0,D156=0),J156&gt;0),"",IF(AND(E156="W",I156="W"),ROUND(K156-(D156*Lookups!$C$9),0),ROUND(+K156-G156,0)))</f>
        <v/>
      </c>
      <c r="M156" s="86" t="str">
        <f t="shared" si="8"/>
        <v/>
      </c>
      <c r="N156" s="132"/>
    </row>
    <row r="157" spans="1:19" x14ac:dyDescent="0.35">
      <c r="B157" s="27" t="s">
        <v>167</v>
      </c>
      <c r="C157" s="4" t="s">
        <v>168</v>
      </c>
      <c r="D157" s="22"/>
      <c r="E157" s="25"/>
      <c r="F157" s="13">
        <f>100*12</f>
        <v>1200</v>
      </c>
      <c r="G157" s="26">
        <f>IF(D157="",0,IF(F157&gt;0,0,IF(E157="A",D157,IF(E157="M",D157*12,IF(E157="W",D157*Lookups!C$9,IF(E157="B",D157*+Lookups!C$10,IF(E157="S",D157*2,IF(AND(D157=0,F157&gt;0),F157,"ERROR"))))))))</f>
        <v>0</v>
      </c>
      <c r="H157" s="22"/>
      <c r="I157" s="25"/>
      <c r="J157" s="13"/>
      <c r="K157" s="26">
        <f>IF(H157="",0,IF(J157&gt;0,0,IF(I157="A",H157,IF(I157="M",H157*12,IF(I157="W",H157*Lookups!D$9,IF(I157="B",H157*+Lookups!D$10,IF(I157="S",H157*2,IF(AND(H157=0,J157&gt;0),J157,"ERROR"))))))))</f>
        <v>0</v>
      </c>
      <c r="L157" s="140" t="str">
        <f>IF(OR(AND(K157=0,D157=0),J157&gt;0),"",IF(AND(E157="W",I157="W"),ROUND(K157-(D157*Lookups!$C$9),0),ROUND(+K157-G157,0)))</f>
        <v/>
      </c>
      <c r="M157" s="86" t="str">
        <f t="shared" si="8"/>
        <v/>
      </c>
      <c r="N157" s="132"/>
    </row>
    <row r="158" spans="1:19" x14ac:dyDescent="0.35">
      <c r="B158" s="27" t="s">
        <v>169</v>
      </c>
      <c r="C158" s="4" t="s">
        <v>170</v>
      </c>
      <c r="D158" s="22">
        <v>400</v>
      </c>
      <c r="E158" s="25" t="s">
        <v>42</v>
      </c>
      <c r="F158" s="13"/>
      <c r="G158" s="26">
        <f>IF(D158="",0,IF(F158&gt;0,0,IF(E158="A",D158,IF(E158="M",D158*12,IF(E158="W",D158*Lookups!C$9,IF(E158="B",D158*+Lookups!C$10,IF(E158="S",D158*2,IF(AND(D158=0,F158&gt;0),F158,"ERROR"))))))))</f>
        <v>4800</v>
      </c>
      <c r="H158" s="172">
        <v>400</v>
      </c>
      <c r="I158" s="173" t="s">
        <v>42</v>
      </c>
      <c r="J158" s="174"/>
      <c r="K158" s="175">
        <f>IF(H158="",0,IF(J158&gt;0,0,IF(I158="A",H158,IF(I158="M",H158*12,IF(I158="W",H158*Lookups!D$9,IF(I158="B",H158*+Lookups!D$10,IF(I158="S",H158*2,IF(AND(H158=0,J158&gt;0),J158,"ERROR"))))))))</f>
        <v>4800</v>
      </c>
      <c r="L158" s="140">
        <f>IF(OR(AND(K158=0,D158=0),J158&gt;0),"",IF(AND(E158="W",I158="W"),ROUND(K158-(D158*Lookups!$C$9),0),ROUND(+K158-G158,0)))</f>
        <v>0</v>
      </c>
      <c r="M158" s="86" t="str">
        <f t="shared" si="8"/>
        <v>S</v>
      </c>
      <c r="N158" s="132"/>
      <c r="O158" s="63" t="s">
        <v>478</v>
      </c>
      <c r="P158" s="64" t="s">
        <v>479</v>
      </c>
      <c r="Q158" s="64" t="s">
        <v>419</v>
      </c>
      <c r="R158" s="65" t="s">
        <v>396</v>
      </c>
      <c r="S158" s="66">
        <v>53402</v>
      </c>
    </row>
    <row r="159" spans="1:19" x14ac:dyDescent="0.35">
      <c r="A159" s="144" t="s">
        <v>638</v>
      </c>
      <c r="B159" s="119" t="s">
        <v>308</v>
      </c>
      <c r="C159" s="120" t="s">
        <v>237</v>
      </c>
      <c r="D159" s="122"/>
      <c r="E159" s="124"/>
      <c r="F159" s="121"/>
      <c r="G159" s="123">
        <f>IF(D159="",0,IF(F159&gt;0,0,IF(E159="A",D159,IF(E159="M",D159*12,IF(E159="W",D159*Lookups!C$9,IF(E159="B",D159*+Lookups!C$10,IF(E159="S",D159*2,IF(AND(D159=0,F159&gt;0),F159,"ERROR"))))))))</f>
        <v>0</v>
      </c>
      <c r="H159" s="122"/>
      <c r="I159" s="124"/>
      <c r="J159" s="121"/>
      <c r="K159" s="123">
        <f>IF(H159="",0,IF(J159&gt;0,0,IF(I159="A",H159,IF(I159="M",H159*12,IF(I159="W",H159*Lookups!D$9,IF(I159="B",H159*+Lookups!D$10,IF(I159="S",H159*2,IF(AND(H159=0,J159&gt;0),J159,"ERROR"))))))))</f>
        <v>0</v>
      </c>
      <c r="L159" s="96" t="str">
        <f>IF(OR(AND(K159=0,D159=0),J159&gt;0),"",IF(AND(E159="W",I159="W"),ROUND(K159-(D159*Lookups!$C$9),0),ROUND(+K159-G159,0)))</f>
        <v/>
      </c>
      <c r="M159" s="97" t="str">
        <f t="shared" si="8"/>
        <v/>
      </c>
      <c r="N159" s="133"/>
      <c r="O159" s="125" t="s">
        <v>505</v>
      </c>
      <c r="P159" s="125"/>
      <c r="Q159" s="125"/>
      <c r="R159" s="126"/>
      <c r="S159" s="127"/>
    </row>
    <row r="160" spans="1:19" x14ac:dyDescent="0.35">
      <c r="B160" s="27" t="s">
        <v>171</v>
      </c>
      <c r="C160" s="4" t="s">
        <v>130</v>
      </c>
      <c r="D160" s="22">
        <v>50</v>
      </c>
      <c r="E160" s="25" t="s">
        <v>41</v>
      </c>
      <c r="F160" s="13"/>
      <c r="G160" s="26">
        <f>IF(D160="",0,IF(F160&gt;0,0,IF(E160="A",D160,IF(E160="M",D160*12,IF(E160="W",D160*Lookups!C$9,IF(E160="B",D160*+Lookups!C$10,IF(E160="S",D160*2,IF(AND(D160=0,F160&gt;0),F160,"ERROR"))))))))</f>
        <v>2600</v>
      </c>
      <c r="H160" s="22">
        <v>200</v>
      </c>
      <c r="I160" s="25" t="s">
        <v>42</v>
      </c>
      <c r="J160" s="13"/>
      <c r="K160" s="26">
        <f>IF(H160="",0,IF(J160&gt;0,0,IF(I160="A",H160,IF(I160="M",H160*12,IF(I160="W",H160*Lookups!D$9,IF(I160="B",H160*+Lookups!D$10,IF(I160="S",H160*2,IF(AND(H160=0,J160&gt;0),J160,"ERROR"))))))))</f>
        <v>2400</v>
      </c>
      <c r="L160" s="140">
        <f>IF(OR(AND(K160=0,D160=0),J160&gt;0),"",IF(AND(E160="W",I160="W"),ROUND(K160-(D160*Lookups!$C$9),0),ROUND(+K160-G160,0)))</f>
        <v>-200</v>
      </c>
      <c r="M160" s="86" t="str">
        <f t="shared" si="8"/>
        <v>D</v>
      </c>
      <c r="N160" s="132"/>
      <c r="O160" s="63" t="s">
        <v>585</v>
      </c>
      <c r="P160" s="64" t="s">
        <v>586</v>
      </c>
      <c r="Q160" s="64" t="s">
        <v>530</v>
      </c>
      <c r="R160" s="65" t="s">
        <v>396</v>
      </c>
      <c r="S160" s="66">
        <v>53144</v>
      </c>
    </row>
    <row r="161" spans="1:19" x14ac:dyDescent="0.35">
      <c r="B161" s="27" t="s">
        <v>309</v>
      </c>
      <c r="C161" s="4" t="s">
        <v>310</v>
      </c>
      <c r="D161" s="22">
        <v>1000</v>
      </c>
      <c r="E161" s="25" t="s">
        <v>38</v>
      </c>
      <c r="F161" s="13"/>
      <c r="G161" s="26">
        <f>IF(D161="",0,IF(F161&gt;0,0,IF(E161="A",D161,IF(E161="M",D161*12,IF(E161="W",D161*Lookups!C$9,IF(E161="B",D161*+Lookups!C$10,IF(E161="S",D161*2,IF(AND(D161=0,F161&gt;0),F161,"ERROR"))))))))</f>
        <v>1000</v>
      </c>
      <c r="H161" s="22">
        <v>5000</v>
      </c>
      <c r="I161" s="25" t="s">
        <v>38</v>
      </c>
      <c r="J161" s="13"/>
      <c r="K161" s="26">
        <f>IF(H161="",0,IF(J161&gt;0,0,IF(I161="A",H161,IF(I161="M",H161*12,IF(I161="W",H161*Lookups!D$9,IF(I161="B",H161*+Lookups!D$10,IF(I161="S",H161*2,IF(AND(H161=0,J161&gt;0),J161,"ERROR"))))))))</f>
        <v>5000</v>
      </c>
      <c r="L161" s="140">
        <f>IF(OR(AND(K161=0,D161=0),J161&gt;0),"",IF(AND(E161="W",I161="W"),ROUND(K161-(D161*Lookups!$C$9),0),ROUND(+K161-G161,0)))</f>
        <v>4000</v>
      </c>
      <c r="M161" s="86" t="str">
        <f t="shared" si="8"/>
        <v>I</v>
      </c>
      <c r="N161" s="132" t="s">
        <v>587</v>
      </c>
      <c r="O161" s="63" t="s">
        <v>588</v>
      </c>
      <c r="P161" s="64" t="s">
        <v>589</v>
      </c>
      <c r="Q161" s="64" t="s">
        <v>563</v>
      </c>
      <c r="R161" s="65" t="s">
        <v>396</v>
      </c>
      <c r="S161" s="66">
        <v>53406</v>
      </c>
    </row>
    <row r="162" spans="1:19" x14ac:dyDescent="0.35">
      <c r="A162" s="144" t="s">
        <v>638</v>
      </c>
      <c r="B162" s="119" t="s">
        <v>172</v>
      </c>
      <c r="C162" s="120" t="s">
        <v>311</v>
      </c>
      <c r="D162" s="122"/>
      <c r="E162" s="124"/>
      <c r="F162" s="121"/>
      <c r="G162" s="123">
        <f>IF(D162="",0,IF(F162&gt;0,0,IF(E162="A",D162,IF(E162="M",D162*12,IF(E162="W",D162*Lookups!C$9,IF(E162="B",D162*+Lookups!C$10,IF(E162="S",D162*2,IF(AND(D162=0,F162&gt;0),F162,"ERROR"))))))))</f>
        <v>0</v>
      </c>
      <c r="H162" s="122"/>
      <c r="I162" s="124"/>
      <c r="J162" s="121"/>
      <c r="K162" s="123">
        <f>IF(H162="",0,IF(J162&gt;0,0,IF(I162="A",H162,IF(I162="M",H162*12,IF(I162="W",H162*Lookups!D$9,IF(I162="B",H162*+Lookups!D$10,IF(I162="S",H162*2,IF(AND(H162=0,J162&gt;0),J162,"ERROR"))))))))</f>
        <v>0</v>
      </c>
      <c r="L162" s="96" t="str">
        <f>IF(OR(AND(K162=0,D162=0),J162&gt;0),"",IF(AND(E162="W",I162="W"),ROUND(K162-(D162*Lookups!$C$9),0),ROUND(+K162-G162,0)))</f>
        <v/>
      </c>
      <c r="M162" s="97" t="str">
        <f t="shared" si="8"/>
        <v/>
      </c>
      <c r="N162" s="133"/>
      <c r="O162" s="125" t="s">
        <v>506</v>
      </c>
      <c r="P162" s="125"/>
      <c r="Q162" s="125"/>
      <c r="R162" s="126"/>
      <c r="S162" s="127"/>
    </row>
    <row r="163" spans="1:19" x14ac:dyDescent="0.35">
      <c r="B163" s="27" t="s">
        <v>172</v>
      </c>
      <c r="C163" s="4" t="s">
        <v>312</v>
      </c>
      <c r="D163" s="22">
        <v>1200</v>
      </c>
      <c r="E163" s="25" t="s">
        <v>38</v>
      </c>
      <c r="F163" s="13"/>
      <c r="G163" s="26">
        <f>IF(D163="",0,IF(F163&gt;0,0,IF(E163="A",D163,IF(E163="M",D163*12,IF(E163="W",D163*Lookups!C$9,IF(E163="B",D163*+Lookups!C$10,IF(E163="S",D163*2,IF(AND(D163=0,F163&gt;0),F163,"ERROR"))))))))</f>
        <v>1200</v>
      </c>
      <c r="H163" s="22"/>
      <c r="I163" s="25"/>
      <c r="J163" s="13"/>
      <c r="K163" s="26">
        <f>IF(H163="",0,IF(J163&gt;0,0,IF(I163="A",H163,IF(I163="M",H163*12,IF(I163="W",H163*Lookups!D$9,IF(I163="B",H163*+Lookups!D$10,IF(I163="S",H163*2,IF(AND(H163=0,J163&gt;0),J163,"ERROR"))))))))</f>
        <v>0</v>
      </c>
      <c r="L163" s="140">
        <f>IF(OR(AND(K163=0,D163=0),J163&gt;0),"",IF(AND(E163="W",I163="W"),ROUND(K163-(D163*Lookups!$C$9),0),ROUND(+K163-G163,0)))</f>
        <v>-1200</v>
      </c>
      <c r="M163" s="86" t="str">
        <f t="shared" si="8"/>
        <v>D</v>
      </c>
      <c r="N163" s="132"/>
      <c r="O163" s="63" t="s">
        <v>591</v>
      </c>
      <c r="P163" s="64" t="s">
        <v>592</v>
      </c>
      <c r="Q163" s="64" t="s">
        <v>593</v>
      </c>
      <c r="R163" s="65" t="s">
        <v>396</v>
      </c>
      <c r="S163" s="66">
        <v>53185</v>
      </c>
    </row>
    <row r="164" spans="1:19" x14ac:dyDescent="0.35">
      <c r="B164" s="27" t="s">
        <v>172</v>
      </c>
      <c r="C164" s="4" t="s">
        <v>313</v>
      </c>
      <c r="D164" s="22"/>
      <c r="E164" s="25"/>
      <c r="F164" s="13"/>
      <c r="G164" s="26">
        <f>IF(D164="",0,IF(F164&gt;0,0,IF(E164="A",D164,IF(E164="M",D164*12,IF(E164="W",D164*Lookups!C$9,IF(E164="B",D164*+Lookups!C$10,IF(E164="S",D164*2,IF(AND(D164=0,F164&gt;0),F164,"ERROR"))))))))</f>
        <v>0</v>
      </c>
      <c r="H164" s="22"/>
      <c r="I164" s="25"/>
      <c r="J164" s="13"/>
      <c r="K164" s="26">
        <f>IF(H164="",0,IF(J164&gt;0,0,IF(I164="A",H164,IF(I164="M",H164*12,IF(I164="W",H164*Lookups!D$9,IF(I164="B",H164*+Lookups!D$10,IF(I164="S",H164*2,IF(AND(H164=0,J164&gt;0),J164,"ERROR"))))))))</f>
        <v>0</v>
      </c>
      <c r="L164" s="140" t="str">
        <f>IF(OR(AND(K164=0,D164=0),J164&gt;0),"",IF(AND(E164="W",I164="W"),ROUND(K164-(D164*Lookups!$C$9),0),ROUND(+K164-G164,0)))</f>
        <v/>
      </c>
      <c r="M164" s="86" t="str">
        <f t="shared" si="8"/>
        <v/>
      </c>
      <c r="N164" s="132"/>
    </row>
    <row r="165" spans="1:19" x14ac:dyDescent="0.35">
      <c r="A165" s="144" t="s">
        <v>638</v>
      </c>
      <c r="B165" s="27" t="s">
        <v>172</v>
      </c>
      <c r="C165" s="4" t="s">
        <v>314</v>
      </c>
      <c r="D165" s="22"/>
      <c r="E165" s="25"/>
      <c r="F165" s="13"/>
      <c r="G165" s="26">
        <f>IF(D165="",0,IF(F165&gt;0,0,IF(E165="A",D165,IF(E165="M",D165*12,IF(E165="W",D165*Lookups!C$9,IF(E165="B",D165*+Lookups!C$10,IF(E165="S",D165*2,IF(AND(D165=0,F165&gt;0),F165,"ERROR"))))))))</f>
        <v>0</v>
      </c>
      <c r="H165" s="22"/>
      <c r="I165" s="25"/>
      <c r="J165" s="13"/>
      <c r="K165" s="26">
        <f>IF(H165="",0,IF(J165&gt;0,0,IF(I165="A",H165,IF(I165="M",H165*12,IF(I165="W",H165*Lookups!D$9,IF(I165="B",H165*+Lookups!D$10,IF(I165="S",H165*2,IF(AND(H165=0,J165&gt;0),J165,"ERROR"))))))))</f>
        <v>0</v>
      </c>
      <c r="L165" s="140" t="str">
        <f>IF(OR(AND(K165=0,D165=0),J165&gt;0),"",IF(AND(E165="W",I165="W"),ROUND(K165-(D165*Lookups!$C$9),0),ROUND(+K165-G165,0)))</f>
        <v/>
      </c>
      <c r="M165" s="86" t="str">
        <f t="shared" si="8"/>
        <v/>
      </c>
      <c r="N165" s="132"/>
    </row>
    <row r="166" spans="1:19" x14ac:dyDescent="0.35">
      <c r="B166" s="24" t="s">
        <v>172</v>
      </c>
      <c r="C166" s="81" t="s">
        <v>173</v>
      </c>
      <c r="D166" s="22">
        <v>15</v>
      </c>
      <c r="E166" s="25" t="s">
        <v>41</v>
      </c>
      <c r="F166" s="13"/>
      <c r="G166" s="26">
        <f>IF(D166="",0,IF(F166&gt;0,0,IF(E166="A",D166,IF(E166="M",D166*12,IF(E166="W",D166*Lookups!C$9,IF(E166="B",D166*+Lookups!C$10,IF(E166="S",D166*2,IF(AND(D166=0,F166&gt;0),F166,"ERROR"))))))))</f>
        <v>780</v>
      </c>
      <c r="H166" s="22">
        <v>15</v>
      </c>
      <c r="I166" s="25" t="s">
        <v>41</v>
      </c>
      <c r="J166" s="13"/>
      <c r="K166" s="26">
        <f>IF(H166="",0,IF(J166&gt;0,0,IF(I166="A",H166,IF(I166="M",H166*12,IF(I166="W",H166*Lookups!D$9,IF(I166="B",H166*+Lookups!D$10,IF(I166="S",H166*2,IF(AND(H166=0,J166&gt;0),J166,"ERROR"))))))))</f>
        <v>780</v>
      </c>
      <c r="L166" s="140">
        <f>IF(OR(AND(K166=0,D166=0),J166&gt;0),"",IF(AND(E166="W",I166="W"),ROUND(K166-(D166*Lookups!$C$9),0),ROUND(+K166-G166,0)))</f>
        <v>0</v>
      </c>
      <c r="M166" s="86" t="str">
        <f t="shared" si="8"/>
        <v>S</v>
      </c>
      <c r="N166" s="132"/>
      <c r="O166" s="63" t="s">
        <v>594</v>
      </c>
      <c r="P166" s="64" t="s">
        <v>595</v>
      </c>
      <c r="Q166" s="64" t="s">
        <v>419</v>
      </c>
      <c r="R166" s="65" t="s">
        <v>596</v>
      </c>
      <c r="S166" s="66">
        <v>53406</v>
      </c>
    </row>
    <row r="167" spans="1:19" x14ac:dyDescent="0.35">
      <c r="B167" s="27" t="s">
        <v>174</v>
      </c>
      <c r="C167" s="4" t="s">
        <v>13</v>
      </c>
      <c r="D167" s="22">
        <v>170</v>
      </c>
      <c r="E167" s="25" t="s">
        <v>42</v>
      </c>
      <c r="F167" s="13"/>
      <c r="G167" s="26">
        <f>IF(D167="",0,IF(F167&gt;0,0,IF(E167="A",D167,IF(E167="M",D167*12,IF(E167="W",D167*Lookups!C$9,IF(E167="B",D167*+Lookups!C$10,IF(E167="S",D167*2,IF(AND(D167=0,F167&gt;0),F167,"ERROR"))))))))</f>
        <v>2040</v>
      </c>
      <c r="H167" s="22">
        <v>180</v>
      </c>
      <c r="I167" s="25" t="s">
        <v>42</v>
      </c>
      <c r="J167" s="13"/>
      <c r="K167" s="26">
        <f>IF(H167="",0,IF(J167&gt;0,0,IF(I167="A",H167,IF(I167="M",H167*12,IF(I167="W",H167*Lookups!D$9,IF(I167="B",H167*+Lookups!D$10,IF(I167="S",H167*2,IF(AND(H167=0,J167&gt;0),J167,"ERROR"))))))))</f>
        <v>2160</v>
      </c>
      <c r="L167" s="140">
        <f>IF(OR(AND(K167=0,D167=0),J167&gt;0),"",IF(AND(E167="W",I167="W"),ROUND(K167-(D167*Lookups!$C$9),0),ROUND(+K167-G167,0)))</f>
        <v>120</v>
      </c>
      <c r="M167" s="86" t="str">
        <f t="shared" si="8"/>
        <v>I</v>
      </c>
      <c r="N167" s="132"/>
      <c r="O167" s="63" t="s">
        <v>597</v>
      </c>
      <c r="P167" s="64" t="s">
        <v>598</v>
      </c>
      <c r="Q167" s="64" t="s">
        <v>563</v>
      </c>
      <c r="R167" s="65" t="s">
        <v>396</v>
      </c>
      <c r="S167" s="66">
        <v>53406</v>
      </c>
    </row>
    <row r="168" spans="1:19" x14ac:dyDescent="0.35">
      <c r="B168" s="27" t="s">
        <v>174</v>
      </c>
      <c r="C168" s="4" t="s">
        <v>377</v>
      </c>
      <c r="D168" s="22"/>
      <c r="E168" s="25"/>
      <c r="F168" s="13"/>
      <c r="G168" s="26">
        <f>IF(D168="",0,IF(F168&gt;0,0,IF(E168="A",D168,IF(E168="M",D168*12,IF(E168="W",D168*Lookups!C$9,IF(E168="B",D168*+Lookups!C$10,IF(E168="S",D168*2,IF(AND(D168=0,F168&gt;0),F168,"ERROR"))))))))</f>
        <v>0</v>
      </c>
      <c r="H168" s="22"/>
      <c r="I168" s="25"/>
      <c r="J168" s="13"/>
      <c r="K168" s="26">
        <f>IF(H168="",0,IF(J168&gt;0,0,IF(I168="A",H168,IF(I168="M",H168*12,IF(I168="W",H168*Lookups!D$9,IF(I168="B",H168*+Lookups!D$10,IF(I168="S",H168*2,IF(AND(H168=0,J168&gt;0),J168,"ERROR"))))))))</f>
        <v>0</v>
      </c>
      <c r="L168" s="140" t="str">
        <f>IF(OR(AND(K168=0,D168=0),J168&gt;0),"",IF(AND(E168="W",I168="W"),ROUND(K168-(D168*Lookups!$C$9),0),ROUND(+K168-G168,0)))</f>
        <v/>
      </c>
      <c r="M168" s="86" t="str">
        <f t="shared" si="8"/>
        <v/>
      </c>
      <c r="N168" s="132"/>
    </row>
    <row r="169" spans="1:19" ht="29" x14ac:dyDescent="0.35">
      <c r="B169" s="27" t="s">
        <v>175</v>
      </c>
      <c r="C169" s="4" t="s">
        <v>176</v>
      </c>
      <c r="D169" s="22">
        <v>80000</v>
      </c>
      <c r="E169" s="25" t="s">
        <v>38</v>
      </c>
      <c r="F169" s="13"/>
      <c r="G169" s="26">
        <f>IF(D169="",0,IF(F169&gt;0,0,IF(E169="A",D169,IF(E169="M",D169*12,IF(E169="W",D169*Lookups!C$9,IF(E169="B",D169*+Lookups!C$10,IF(E169="S",D169*2,IF(AND(D169=0,F169&gt;0),F169,"ERROR"))))))))</f>
        <v>80000</v>
      </c>
      <c r="H169" s="22">
        <v>97000</v>
      </c>
      <c r="I169" s="25" t="s">
        <v>38</v>
      </c>
      <c r="J169" s="13"/>
      <c r="K169" s="26">
        <f>IF(H169="",0,IF(J169&gt;0,0,IF(I169="A",H169,IF(I169="M",H169*12,IF(I169="W",H169*Lookups!D$9,IF(I169="B",H169*+Lookups!D$10,IF(I169="S",H169*2,IF(AND(H169=0,J169&gt;0),J169,"ERROR"))))))))</f>
        <v>97000</v>
      </c>
      <c r="L169" s="140">
        <f>IF(OR(AND(K169=0,D169=0),J169&gt;0),"",IF(AND(E169="W",I169="W"),ROUND(K169-(D169*Lookups!$C$9),0),ROUND(+K169-G169,0)))</f>
        <v>17000</v>
      </c>
      <c r="M169" s="86" t="str">
        <f t="shared" si="8"/>
        <v>I</v>
      </c>
      <c r="N169" s="143" t="s">
        <v>599</v>
      </c>
    </row>
    <row r="170" spans="1:19" x14ac:dyDescent="0.35">
      <c r="B170" s="27" t="s">
        <v>177</v>
      </c>
      <c r="C170" s="4" t="s">
        <v>683</v>
      </c>
      <c r="D170" s="22"/>
      <c r="E170" s="25"/>
      <c r="F170" s="13"/>
      <c r="G170" s="26">
        <f>IF(D170="",0,IF(F170&gt;0,0,IF(E170="A",D170,IF(E170="M",D170*12,IF(E170="W",D170*Lookups!C$9,IF(E170="B",D170*+Lookups!C$10,IF(E170="S",D170*2,IF(AND(D170=0,F170&gt;0),F170,"ERROR"))))))))</f>
        <v>0</v>
      </c>
      <c r="H170" s="22">
        <v>125</v>
      </c>
      <c r="I170" s="25" t="s">
        <v>42</v>
      </c>
      <c r="J170" s="13"/>
      <c r="K170" s="26">
        <f>IF(H170="",0,IF(J170&gt;0,0,IF(I170="A",H170,IF(I170="M",H170*12,IF(I170="W",H170*Lookups!D$9,IF(I170="B",H170*+Lookups!D$10,IF(I170="S",H170*2,IF(AND(H170=0,J170&gt;0),J170,"ERROR"))))))))</f>
        <v>1500</v>
      </c>
      <c r="L170" s="140">
        <f>IF(OR(AND(K170=0,D170=0),J170&gt;0),"",IF(AND(E170="W",I170="W"),ROUND(K170-(D170*Lookups!$C$9),0),ROUND(+K170-G170,0)))</f>
        <v>1500</v>
      </c>
      <c r="M170" s="86" t="str">
        <f t="shared" ref="M170" si="10">IF(J170&gt;0,"E",IF(L170="","",IF(L170=0,"S",IF(AND(L170&gt;0,NOT(D170=0)),"I",IF(AND(L170&gt;0,D170=0),"N",IF(L170&lt;0,"D","ERROR"))))))</f>
        <v>N</v>
      </c>
      <c r="N170" s="143"/>
    </row>
    <row r="171" spans="1:19" x14ac:dyDescent="0.35">
      <c r="A171" s="144" t="s">
        <v>638</v>
      </c>
      <c r="B171" s="27" t="s">
        <v>177</v>
      </c>
      <c r="C171" s="4" t="s">
        <v>178</v>
      </c>
      <c r="D171" s="22"/>
      <c r="E171" s="25"/>
      <c r="F171" s="13"/>
      <c r="G171" s="26">
        <f>IF(D171="",0,IF(F171&gt;0,0,IF(E171="A",D171,IF(E171="M",D171*12,IF(E171="W",D171*Lookups!C$9,IF(E171="B",D171*+Lookups!C$10,IF(E171="S",D171*2,IF(AND(D171=0,F171&gt;0),F171,"ERROR"))))))))</f>
        <v>0</v>
      </c>
      <c r="H171" s="22"/>
      <c r="I171" s="25"/>
      <c r="J171" s="13"/>
      <c r="K171" s="26">
        <f>IF(H171="",0,IF(J171&gt;0,0,IF(I171="A",H171,IF(I171="M",H171*12,IF(I171="W",H171*Lookups!D$9,IF(I171="B",H171*+Lookups!D$10,IF(I171="S",H171*2,IF(AND(H171=0,J171&gt;0),J171,"ERROR"))))))))</f>
        <v>0</v>
      </c>
      <c r="L171" s="140" t="str">
        <f>IF(OR(AND(K171=0,D171=0),J171&gt;0),"",IF(AND(E171="W",I171="W"),ROUND(K171-(D171*Lookups!$C$9),0),ROUND(+K171-G171,0)))</f>
        <v/>
      </c>
      <c r="M171" s="86" t="str">
        <f t="shared" si="8"/>
        <v/>
      </c>
      <c r="N171" s="132"/>
    </row>
    <row r="172" spans="1:19" x14ac:dyDescent="0.35">
      <c r="B172" s="27" t="s">
        <v>315</v>
      </c>
      <c r="C172" s="4" t="s">
        <v>316</v>
      </c>
      <c r="D172" s="22"/>
      <c r="E172" s="25"/>
      <c r="F172" s="13"/>
      <c r="G172" s="26">
        <f>IF(D172="",0,IF(F172&gt;0,0,IF(E172="A",D172,IF(E172="M",D172*12,IF(E172="W",D172*Lookups!C$9,IF(E172="B",D172*+Lookups!C$10,IF(E172="S",D172*2,IF(AND(D172=0,F172&gt;0),F172,"ERROR"))))))))</f>
        <v>0</v>
      </c>
      <c r="H172" s="22"/>
      <c r="I172" s="25"/>
      <c r="J172" s="13"/>
      <c r="K172" s="26">
        <f>IF(H172="",0,IF(J172&gt;0,0,IF(I172="A",H172,IF(I172="M",H172*12,IF(I172="W",H172*Lookups!D$9,IF(I172="B",H172*+Lookups!D$10,IF(I172="S",H172*2,IF(AND(H172=0,J172&gt;0),J172,"ERROR"))))))))</f>
        <v>0</v>
      </c>
      <c r="L172" s="140" t="str">
        <f>IF(OR(AND(K172=0,D172=0),J172&gt;0),"",IF(AND(E172="W",I172="W"),ROUND(K172-(D172*Lookups!$C$9),0),ROUND(+K172-G172,0)))</f>
        <v/>
      </c>
      <c r="M172" s="86" t="str">
        <f t="shared" si="8"/>
        <v/>
      </c>
      <c r="N172" s="132"/>
    </row>
    <row r="173" spans="1:19" ht="29" x14ac:dyDescent="0.35">
      <c r="B173" s="27" t="s">
        <v>179</v>
      </c>
      <c r="C173" s="4" t="s">
        <v>684</v>
      </c>
      <c r="D173" s="22">
        <v>55</v>
      </c>
      <c r="E173" s="25" t="s">
        <v>41</v>
      </c>
      <c r="F173" s="13"/>
      <c r="G173" s="26">
        <f>IF(D173="",0,IF(F173&gt;0,0,IF(E173="A",D173,IF(E173="M",D173*12,IF(E173="W",D173*Lookups!C$9,IF(E173="B",D173*+Lookups!C$10,IF(E173="S",D173*2,IF(AND(D173=0,F173&gt;0),F173,"ERROR"))))))))</f>
        <v>2860</v>
      </c>
      <c r="H173" s="22">
        <v>50</v>
      </c>
      <c r="I173" s="25" t="s">
        <v>41</v>
      </c>
      <c r="J173" s="13"/>
      <c r="K173" s="26">
        <f>IF(H173="",0,IF(J173&gt;0,0,IF(I173="A",H173,IF(I173="M",H173*12,IF(I173="W",H173*Lookups!D$9,IF(I173="B",H173*+Lookups!D$10,IF(I173="S",H173*2,IF(AND(H173=0,J173&gt;0),J173,"ERROR"))))))))</f>
        <v>2600</v>
      </c>
      <c r="L173" s="140">
        <f>IF(OR(AND(K173=0,D173=0),J173&gt;0),"",IF(AND(E173="W",I173="W"),ROUND(K173-(D173*Lookups!$C$9),0),ROUND(+K173-G173,0)))</f>
        <v>-260</v>
      </c>
      <c r="M173" s="86" t="str">
        <f t="shared" si="8"/>
        <v>D</v>
      </c>
      <c r="N173" s="132"/>
      <c r="O173" s="63" t="s">
        <v>600</v>
      </c>
      <c r="P173" s="130" t="s">
        <v>601</v>
      </c>
      <c r="Q173" s="64" t="s">
        <v>602</v>
      </c>
      <c r="R173" s="65" t="s">
        <v>603</v>
      </c>
      <c r="S173" s="66" t="s">
        <v>604</v>
      </c>
    </row>
    <row r="174" spans="1:19" x14ac:dyDescent="0.35">
      <c r="A174" s="144" t="s">
        <v>638</v>
      </c>
      <c r="B174" s="27" t="s">
        <v>317</v>
      </c>
      <c r="C174" s="4" t="s">
        <v>318</v>
      </c>
      <c r="D174" s="22"/>
      <c r="E174" s="25"/>
      <c r="F174" s="13"/>
      <c r="G174" s="26">
        <f>IF(D174="",0,IF(F174&gt;0,0,IF(E174="A",D174,IF(E174="M",D174*12,IF(E174="W",D174*Lookups!C$9,IF(E174="B",D174*+Lookups!C$10,IF(E174="S",D174*2,IF(AND(D174=0,F174&gt;0),F174,"ERROR"))))))))</f>
        <v>0</v>
      </c>
      <c r="H174" s="22"/>
      <c r="I174" s="25"/>
      <c r="J174" s="13"/>
      <c r="K174" s="26">
        <f>IF(H174="",0,IF(J174&gt;0,0,IF(I174="A",H174,IF(I174="M",H174*12,IF(I174="W",H174*Lookups!D$9,IF(I174="B",H174*+Lookups!D$10,IF(I174="S",H174*2,IF(AND(H174=0,J174&gt;0),J174,"ERROR"))))))))</f>
        <v>0</v>
      </c>
      <c r="L174" s="140" t="str">
        <f>IF(OR(AND(K174=0,D174=0),J174&gt;0),"",IF(AND(E174="W",I174="W"),ROUND(K174-(D174*Lookups!$C$9),0),ROUND(+K174-G174,0)))</f>
        <v/>
      </c>
      <c r="M174" s="86" t="str">
        <f t="shared" si="8"/>
        <v/>
      </c>
      <c r="N174" s="132"/>
    </row>
    <row r="175" spans="1:19" x14ac:dyDescent="0.35">
      <c r="A175" s="144" t="s">
        <v>638</v>
      </c>
      <c r="B175" s="119" t="s">
        <v>180</v>
      </c>
      <c r="C175" s="120" t="s">
        <v>181</v>
      </c>
      <c r="D175" s="122"/>
      <c r="E175" s="124"/>
      <c r="F175" s="121"/>
      <c r="G175" s="123">
        <f>IF(D175="",0,IF(F175&gt;0,0,IF(E175="A",D175,IF(E175="M",D175*12,IF(E175="W",D175*Lookups!C$9,IF(E175="B",D175*+Lookups!C$10,IF(E175="S",D175*2,IF(AND(D175=0,F175&gt;0),F175,"ERROR"))))))))</f>
        <v>0</v>
      </c>
      <c r="H175" s="122"/>
      <c r="I175" s="124"/>
      <c r="J175" s="121"/>
      <c r="K175" s="123">
        <f>IF(H175="",0,IF(J175&gt;0,0,IF(I175="A",H175,IF(I175="M",H175*12,IF(I175="W",H175*Lookups!D$9,IF(I175="B",H175*+Lookups!D$10,IF(I175="S",H175*2,IF(AND(H175=0,J175&gt;0),J175,"ERROR"))))))))</f>
        <v>0</v>
      </c>
      <c r="L175" s="96" t="str">
        <f>IF(OR(AND(K175=0,D175=0),J175&gt;0),"",IF(AND(E175="W",I175="W"),ROUND(K175-(D175*Lookups!$C$9),0),ROUND(+K175-G175,0)))</f>
        <v/>
      </c>
      <c r="M175" s="97" t="str">
        <f t="shared" si="8"/>
        <v/>
      </c>
      <c r="N175" s="133"/>
      <c r="O175" s="125" t="s">
        <v>503</v>
      </c>
      <c r="P175" s="125"/>
      <c r="Q175" s="125"/>
      <c r="R175" s="126"/>
      <c r="S175" s="127"/>
    </row>
    <row r="176" spans="1:19" x14ac:dyDescent="0.35">
      <c r="B176" s="24" t="s">
        <v>182</v>
      </c>
      <c r="C176" s="4" t="s">
        <v>183</v>
      </c>
      <c r="D176" s="22">
        <v>20</v>
      </c>
      <c r="E176" s="25" t="s">
        <v>42</v>
      </c>
      <c r="F176" s="13"/>
      <c r="G176" s="26">
        <f>IF(D176="",0,IF(F176&gt;0,0,IF(E176="A",D176,IF(E176="M",D176*12,IF(E176="W",D176*Lookups!C$9,IF(E176="B",D176*+Lookups!C$10,IF(E176="S",D176*2,IF(AND(D176=0,F176&gt;0),F176,"ERROR"))))))))</f>
        <v>240</v>
      </c>
      <c r="H176" s="22">
        <v>20</v>
      </c>
      <c r="I176" s="25" t="s">
        <v>42</v>
      </c>
      <c r="J176" s="13"/>
      <c r="K176" s="26">
        <f>IF(H176="",0,IF(J176&gt;0,0,IF(I176="A",H176,IF(I176="M",H176*12,IF(I176="W",H176*Lookups!D$9,IF(I176="B",H176*+Lookups!D$10,IF(I176="S",H176*2,IF(AND(H176=0,J176&gt;0),J176,"ERROR"))))))))</f>
        <v>240</v>
      </c>
      <c r="L176" s="140">
        <f>IF(OR(AND(K176=0,D176=0),J176&gt;0),"",IF(AND(E176="W",I176="W"),ROUND(K176-(D176*Lookups!$C$9),0),ROUND(+K176-G176,0)))</f>
        <v>0</v>
      </c>
      <c r="M176" s="86" t="str">
        <f t="shared" si="8"/>
        <v>S</v>
      </c>
      <c r="N176" s="132"/>
      <c r="P176" s="64" t="s">
        <v>650</v>
      </c>
      <c r="Q176" s="64" t="s">
        <v>419</v>
      </c>
      <c r="R176" s="65" t="s">
        <v>396</v>
      </c>
      <c r="S176" s="66">
        <v>53405</v>
      </c>
    </row>
    <row r="177" spans="1:20" x14ac:dyDescent="0.35">
      <c r="B177" s="24" t="s">
        <v>184</v>
      </c>
      <c r="C177" s="4" t="s">
        <v>185</v>
      </c>
      <c r="D177" s="22">
        <v>100</v>
      </c>
      <c r="E177" s="25" t="s">
        <v>42</v>
      </c>
      <c r="F177" s="13"/>
      <c r="G177" s="26">
        <f>IF(D177="",0,IF(F177&gt;0,0,IF(E177="A",D177,IF(E177="M",D177*12,IF(E177="W",D177*Lookups!C$9,IF(E177="B",D177*+Lookups!C$10,IF(E177="S",D177*2,IF(AND(D177=0,F177&gt;0),F177,"ERROR"))))))))</f>
        <v>1200</v>
      </c>
      <c r="H177" s="22">
        <v>100</v>
      </c>
      <c r="I177" s="25" t="s">
        <v>42</v>
      </c>
      <c r="J177" s="13"/>
      <c r="K177" s="26">
        <f>IF(H177="",0,IF(J177&gt;0,0,IF(I177="A",H177,IF(I177="M",H177*12,IF(I177="W",H177*Lookups!D$9,IF(I177="B",H177*+Lookups!D$10,IF(I177="S",H177*2,IF(AND(H177=0,J177&gt;0),J177,"ERROR"))))))))</f>
        <v>1200</v>
      </c>
      <c r="L177" s="140">
        <f>IF(OR(AND(K177=0,D177=0),J177&gt;0),"",IF(AND(E177="W",I177="W"),ROUND(K177-(D177*Lookups!$C$9),0),ROUND(+K177-G177,0)))</f>
        <v>0</v>
      </c>
      <c r="M177" s="86" t="str">
        <f t="shared" si="8"/>
        <v>S</v>
      </c>
      <c r="N177" s="149"/>
      <c r="O177" s="63" t="s">
        <v>648</v>
      </c>
      <c r="P177" s="64" t="s">
        <v>649</v>
      </c>
      <c r="Q177" s="64" t="s">
        <v>395</v>
      </c>
      <c r="R177" s="65" t="s">
        <v>396</v>
      </c>
      <c r="S177" s="66">
        <v>53406</v>
      </c>
    </row>
    <row r="178" spans="1:20" x14ac:dyDescent="0.35">
      <c r="A178" s="144" t="s">
        <v>638</v>
      </c>
      <c r="B178" s="27" t="s">
        <v>319</v>
      </c>
      <c r="C178" s="4" t="s">
        <v>320</v>
      </c>
      <c r="D178" s="22"/>
      <c r="E178" s="25"/>
      <c r="F178" s="13"/>
      <c r="G178" s="26">
        <f>IF(D178="",0,IF(F178&gt;0,0,IF(E178="A",D178,IF(E178="M",D178*12,IF(E178="W",D178*Lookups!C$9,IF(E178="B",D178*+Lookups!C$10,IF(E178="S",D178*2,IF(AND(D178=0,F178&gt;0),F178,"ERROR"))))))))</f>
        <v>0</v>
      </c>
      <c r="H178" s="22"/>
      <c r="I178" s="25"/>
      <c r="J178" s="13"/>
      <c r="K178" s="26">
        <f>IF(H178="",0,IF(J178&gt;0,0,IF(I178="A",H178,IF(I178="M",H178*12,IF(I178="W",H178*Lookups!D$9,IF(I178="B",H178*+Lookups!D$10,IF(I178="S",H178*2,IF(AND(H178=0,J178&gt;0),J178,"ERROR"))))))))</f>
        <v>0</v>
      </c>
      <c r="L178" s="140" t="str">
        <f>IF(OR(AND(K178=0,D178=0),J178&gt;0),"",IF(AND(E178="W",I178="W"),ROUND(K178-(D178*Lookups!$C$9),0),ROUND(+K178-G178,0)))</f>
        <v/>
      </c>
      <c r="M178" s="86" t="str">
        <f t="shared" si="8"/>
        <v/>
      </c>
      <c r="N178" s="132"/>
    </row>
    <row r="179" spans="1:20" x14ac:dyDescent="0.35">
      <c r="B179" s="27" t="s">
        <v>186</v>
      </c>
      <c r="C179" s="4" t="s">
        <v>187</v>
      </c>
      <c r="D179" s="22">
        <v>275</v>
      </c>
      <c r="E179" s="25" t="s">
        <v>42</v>
      </c>
      <c r="F179" s="13"/>
      <c r="G179" s="26">
        <f>IF(D179="",0,IF(F179&gt;0,0,IF(E179="A",D179,IF(E179="M",D179*12,IF(E179="W",D179*Lookups!C$9,IF(E179="B",D179*+Lookups!C$10,IF(E179="S",D179*2,IF(AND(D179=0,F179&gt;0),F179,"ERROR"))))))))</f>
        <v>3300</v>
      </c>
      <c r="H179" s="22">
        <v>275</v>
      </c>
      <c r="I179" s="25" t="s">
        <v>42</v>
      </c>
      <c r="J179" s="13"/>
      <c r="K179" s="26">
        <f>IF(H179="",0,IF(J179&gt;0,0,IF(I179="A",H179,IF(I179="M",H179*12,IF(I179="W",H179*Lookups!D$9,IF(I179="B",H179*+Lookups!D$10,IF(I179="S",H179*2,IF(AND(H179=0,J179&gt;0),J179,"ERROR"))))))))</f>
        <v>3300</v>
      </c>
      <c r="L179" s="140">
        <f>IF(OR(AND(K179=0,D179=0),J179&gt;0),"",IF(AND(E179="W",I179="W"),ROUND(K179-(D179*Lookups!$C$9),0),ROUND(+K179-G179,0)))</f>
        <v>0</v>
      </c>
      <c r="M179" s="86" t="str">
        <f t="shared" si="8"/>
        <v>S</v>
      </c>
      <c r="N179" s="132"/>
      <c r="O179" s="63" t="s">
        <v>480</v>
      </c>
      <c r="P179" s="64" t="s">
        <v>481</v>
      </c>
      <c r="Q179" s="64" t="s">
        <v>395</v>
      </c>
      <c r="R179" s="65" t="s">
        <v>396</v>
      </c>
      <c r="S179" s="66">
        <v>53406</v>
      </c>
    </row>
    <row r="180" spans="1:20" x14ac:dyDescent="0.35">
      <c r="A180" s="144" t="s">
        <v>638</v>
      </c>
      <c r="B180" s="27" t="s">
        <v>321</v>
      </c>
      <c r="C180" s="4" t="s">
        <v>322</v>
      </c>
      <c r="D180" s="22"/>
      <c r="E180" s="25"/>
      <c r="F180" s="13"/>
      <c r="G180" s="26">
        <f>IF(D180="",0,IF(F180&gt;0,0,IF(E180="A",D180,IF(E180="M",D180*12,IF(E180="W",D180*Lookups!C$9,IF(E180="B",D180*+Lookups!C$10,IF(E180="S",D180*2,IF(AND(D180=0,F180&gt;0),F180,"ERROR"))))))))</f>
        <v>0</v>
      </c>
      <c r="H180" s="22"/>
      <c r="I180" s="25"/>
      <c r="J180" s="13"/>
      <c r="K180" s="26">
        <f>IF(H180="",0,IF(J180&gt;0,0,IF(I180="A",H180,IF(I180="M",H180*12,IF(I180="W",H180*Lookups!D$9,IF(I180="B",H180*+Lookups!D$10,IF(I180="S",H180*2,IF(AND(H180=0,J180&gt;0),J180,"ERROR"))))))))</f>
        <v>0</v>
      </c>
      <c r="L180" s="140" t="str">
        <f>IF(OR(AND(K180=0,D180=0),J180&gt;0),"",IF(AND(E180="W",I180="W"),ROUND(K180-(D180*Lookups!$C$9),0),ROUND(+K180-G180,0)))</f>
        <v/>
      </c>
      <c r="M180" s="86" t="str">
        <f t="shared" si="8"/>
        <v/>
      </c>
      <c r="N180" s="132"/>
    </row>
    <row r="181" spans="1:20" x14ac:dyDescent="0.35">
      <c r="B181" s="24" t="s">
        <v>188</v>
      </c>
      <c r="C181" s="4" t="s">
        <v>189</v>
      </c>
      <c r="D181" s="22"/>
      <c r="E181" s="25"/>
      <c r="F181" s="13">
        <v>1000</v>
      </c>
      <c r="G181" s="26">
        <f>IF(D181="",0,IF(F181&gt;0,0,IF(E181="A",D181,IF(E181="M",D181*12,IF(E181="W",D181*Lookups!C$9,IF(E181="B",D181*+Lookups!C$10,IF(E181="S",D181*2,IF(AND(D181=0,F181&gt;0),F181,"ERROR"))))))))</f>
        <v>0</v>
      </c>
      <c r="H181" s="22">
        <v>50</v>
      </c>
      <c r="I181" s="25" t="s">
        <v>42</v>
      </c>
      <c r="J181" s="13"/>
      <c r="K181" s="26">
        <f>IF(H181="",0,IF(J181&gt;0,0,IF(I181="A",H181,IF(I181="M",H181*12,IF(I181="W",H181*Lookups!D$9,IF(I181="B",H181*+Lookups!D$10,IF(I181="S",H181*2,IF(AND(H181=0,J181&gt;0),J181,"ERROR"))))))))</f>
        <v>600</v>
      </c>
      <c r="L181" s="140">
        <f>IF(OR(AND(K181=0,D181=0),J181&gt;0),"",IF(AND(E181="W",I181="W"),ROUND(K181-(D181*Lookups!$C$9),0),ROUND(+K181-G181,0)))</f>
        <v>600</v>
      </c>
      <c r="M181" s="86" t="str">
        <f t="shared" si="8"/>
        <v>N</v>
      </c>
      <c r="N181" s="132"/>
    </row>
    <row r="182" spans="1:20" x14ac:dyDescent="0.35">
      <c r="B182" s="24" t="s">
        <v>685</v>
      </c>
      <c r="C182" s="4" t="s">
        <v>686</v>
      </c>
      <c r="D182" s="22"/>
      <c r="E182" s="25"/>
      <c r="F182" s="13"/>
      <c r="G182" s="26">
        <f>IF(D182="",0,IF(F182&gt;0,0,IF(E182="A",D182,IF(E182="M",D182*12,IF(E182="W",D182*Lookups!C$9,IF(E182="B",D182*+Lookups!C$10,IF(E182="S",D182*2,IF(AND(D182=0,F182&gt;0),F182,"ERROR"))))))))</f>
        <v>0</v>
      </c>
      <c r="H182" s="22">
        <v>2400</v>
      </c>
      <c r="I182" s="25" t="s">
        <v>38</v>
      </c>
      <c r="J182" s="13"/>
      <c r="K182" s="26">
        <f>IF(H182="",0,IF(J182&gt;0,0,IF(I182="A",H182,IF(I182="M",H182*12,IF(I182="W",H182*Lookups!D$9,IF(I182="B",H182*+Lookups!D$10,IF(I182="S",H182*2,IF(AND(H182=0,J182&gt;0),J182,"ERROR"))))))))</f>
        <v>2400</v>
      </c>
      <c r="L182" s="140">
        <f>IF(OR(AND(K182=0,D182=0),J182&gt;0),"",IF(AND(E182="W",I182="W"),ROUND(K182-(D182*Lookups!$C$9),0),ROUND(+K182-G182,0)))</f>
        <v>2400</v>
      </c>
      <c r="M182" s="86" t="str">
        <f t="shared" ref="M182:M183" si="11">IF(J182&gt;0,"E",IF(L182="","",IF(L182=0,"S",IF(AND(L182&gt;0,NOT(D182=0)),"I",IF(AND(L182&gt;0,D182=0),"N",IF(L182&lt;0,"D","ERROR"))))))</f>
        <v>N</v>
      </c>
      <c r="N182" s="132"/>
    </row>
    <row r="183" spans="1:20" x14ac:dyDescent="0.35">
      <c r="B183" s="24" t="s">
        <v>687</v>
      </c>
      <c r="C183" s="4" t="s">
        <v>688</v>
      </c>
      <c r="D183" s="22"/>
      <c r="E183" s="25"/>
      <c r="F183" s="13"/>
      <c r="G183" s="26">
        <f>IF(D183="",0,IF(F183&gt;0,0,IF(E183="A",D183,IF(E183="M",D183*12,IF(E183="W",D183*Lookups!C$9,IF(E183="B",D183*+Lookups!C$10,IF(E183="S",D183*2,IF(AND(D183=0,F183&gt;0),F183,"ERROR"))))))))</f>
        <v>0</v>
      </c>
      <c r="H183" s="22">
        <v>25</v>
      </c>
      <c r="I183" s="25" t="s">
        <v>42</v>
      </c>
      <c r="J183" s="13"/>
      <c r="K183" s="26">
        <f>IF(H183="",0,IF(J183&gt;0,0,IF(I183="A",H183,IF(I183="M",H183*12,IF(I183="W",H183*Lookups!D$9,IF(I183="B",H183*+Lookups!D$10,IF(I183="S",H183*2,IF(AND(H183=0,J183&gt;0),J183,"ERROR"))))))))</f>
        <v>300</v>
      </c>
      <c r="L183" s="140">
        <f>IF(OR(AND(K183=0,D183=0),J183&gt;0),"",IF(AND(E183="W",I183="W"),ROUND(K183-(D183*Lookups!$C$9),0),ROUND(+K183-G183,0)))</f>
        <v>300</v>
      </c>
      <c r="M183" s="86" t="str">
        <f t="shared" si="11"/>
        <v>N</v>
      </c>
      <c r="N183" s="132"/>
    </row>
    <row r="184" spans="1:20" x14ac:dyDescent="0.35">
      <c r="B184" s="27" t="s">
        <v>633</v>
      </c>
      <c r="C184" s="4" t="s">
        <v>634</v>
      </c>
      <c r="D184" s="22"/>
      <c r="E184" s="25"/>
      <c r="F184" s="13"/>
      <c r="G184" s="26">
        <f>IF(D184="",0,IF(F184&gt;0,0,IF(E184="A",D184,IF(E184="M",D184*12,IF(E184="W",D184*Lookups!C$9,IF(E184="B",D184*+Lookups!C$10,IF(E184="S",D184*2,IF(AND(D184=0,F184&gt;0),F184,"ERROR"))))))))</f>
        <v>0</v>
      </c>
      <c r="H184" s="22"/>
      <c r="I184" s="25"/>
      <c r="J184" s="13"/>
      <c r="K184" s="26">
        <f>IF(H184="",0,IF(J184&gt;0,0,IF(I184="A",H184,IF(I184="M",H184*12,IF(I184="W",H184*Lookups!D$9,IF(I184="B",H184*+Lookups!D$10,IF(I184="S",H184*2,IF(AND(H184=0,J184&gt;0),J184,"ERROR"))))))))</f>
        <v>0</v>
      </c>
      <c r="L184" s="140" t="str">
        <f>IF(OR(AND(K184=0,D184=0),J184&gt;0),"",IF(AND(E184="W",I184="W"),ROUND(K184-(D184*Lookups!$C$9),0),ROUND(+K184-G184,0)))</f>
        <v/>
      </c>
      <c r="M184" s="86" t="str">
        <f t="shared" si="8"/>
        <v/>
      </c>
      <c r="N184" s="132"/>
    </row>
    <row r="185" spans="1:20" x14ac:dyDescent="0.35">
      <c r="B185" s="27" t="s">
        <v>190</v>
      </c>
      <c r="C185" s="4" t="s">
        <v>191</v>
      </c>
      <c r="D185" s="22">
        <v>100</v>
      </c>
      <c r="E185" s="25" t="s">
        <v>42</v>
      </c>
      <c r="F185" s="13"/>
      <c r="G185" s="26">
        <f>IF(D185="",0,IF(F185&gt;0,0,IF(E185="A",D185,IF(E185="M",D185*12,IF(E185="W",D185*Lookups!C$9,IF(E185="B",D185*+Lookups!C$10,IF(E185="S",D185*2,IF(AND(D185=0,F185&gt;0),F185,"ERROR"))))))))</f>
        <v>1200</v>
      </c>
      <c r="H185" s="22">
        <v>100</v>
      </c>
      <c r="I185" s="25" t="s">
        <v>42</v>
      </c>
      <c r="J185" s="13"/>
      <c r="K185" s="26">
        <f>IF(H185="",0,IF(J185&gt;0,0,IF(I185="A",H185,IF(I185="M",H185*12,IF(I185="W",H185*Lookups!D$9,IF(I185="B",H185*+Lookups!D$10,IF(I185="S",H185*2,IF(AND(H185=0,J185&gt;0),J185,"ERROR"))))))))</f>
        <v>1200</v>
      </c>
      <c r="L185" s="140">
        <f>IF(OR(AND(K185=0,D185=0),J185&gt;0),"",IF(AND(E185="W",I185="W"),ROUND(K185-(D185*Lookups!$C$9),0),ROUND(+K185-G185,0)))</f>
        <v>0</v>
      </c>
      <c r="M185" s="86" t="str">
        <f t="shared" si="8"/>
        <v>S</v>
      </c>
      <c r="N185" s="132"/>
      <c r="O185" s="63" t="s">
        <v>605</v>
      </c>
      <c r="P185" s="64" t="s">
        <v>482</v>
      </c>
      <c r="Q185" s="64" t="s">
        <v>421</v>
      </c>
      <c r="R185" s="65" t="s">
        <v>396</v>
      </c>
      <c r="S185" s="66">
        <v>53182</v>
      </c>
    </row>
    <row r="186" spans="1:20" x14ac:dyDescent="0.35">
      <c r="B186" s="27" t="s">
        <v>192</v>
      </c>
      <c r="C186" s="4" t="s">
        <v>607</v>
      </c>
      <c r="D186" s="22">
        <v>50</v>
      </c>
      <c r="E186" s="25" t="s">
        <v>41</v>
      </c>
      <c r="F186" s="13"/>
      <c r="G186" s="26">
        <f>IF(D186="",0,IF(F186&gt;0,0,IF(E186="A",D186,IF(E186="M",D186*12,IF(E186="W",D186*Lookups!C$9,IF(E186="B",D186*+Lookups!C$10,IF(E186="S",D186*2,IF(AND(D186=0,F186&gt;0),F186,"ERROR"))))))))</f>
        <v>2600</v>
      </c>
      <c r="H186" s="22"/>
      <c r="I186" s="25"/>
      <c r="J186" s="13"/>
      <c r="K186" s="26">
        <f>IF(H186="",0,IF(J186&gt;0,0,IF(I186="A",H186,IF(I186="M",H186*12,IF(I186="W",H186*Lookups!D$9,IF(I186="B",H186*+Lookups!D$10,IF(I186="S",H186*2,IF(AND(H186=0,J186&gt;0),J186,"ERROR"))))))))</f>
        <v>0</v>
      </c>
      <c r="L186" s="140">
        <f>IF(OR(AND(K186=0,D186=0),J186&gt;0),"",IF(AND(E186="W",I186="W"),ROUND(K186-(D186*Lookups!$C$9),0),ROUND(+K186-G186,0)))</f>
        <v>-2600</v>
      </c>
      <c r="M186" s="86" t="str">
        <f t="shared" si="8"/>
        <v>D</v>
      </c>
      <c r="N186" s="132"/>
      <c r="O186" s="63" t="s">
        <v>606</v>
      </c>
      <c r="P186" s="64" t="s">
        <v>608</v>
      </c>
      <c r="Q186" s="64" t="s">
        <v>413</v>
      </c>
      <c r="R186" s="65" t="s">
        <v>396</v>
      </c>
      <c r="S186" s="66">
        <v>53108</v>
      </c>
    </row>
    <row r="187" spans="1:20" x14ac:dyDescent="0.35">
      <c r="A187" s="144" t="s">
        <v>638</v>
      </c>
      <c r="B187" s="27" t="s">
        <v>193</v>
      </c>
      <c r="C187" s="4" t="s">
        <v>194</v>
      </c>
      <c r="D187" s="22"/>
      <c r="E187" s="25"/>
      <c r="F187" s="13"/>
      <c r="G187" s="26">
        <f>IF(D187="",0,IF(F187&gt;0,0,IF(E187="A",D187,IF(E187="M",D187*12,IF(E187="W",D187*Lookups!C$9,IF(E187="B",D187*+Lookups!C$10,IF(E187="S",D187*2,IF(AND(D187=0,F187&gt;0),F187,"ERROR"))))))))</f>
        <v>0</v>
      </c>
      <c r="H187" s="22"/>
      <c r="I187" s="25"/>
      <c r="J187" s="13"/>
      <c r="K187" s="26">
        <f>IF(H187="",0,IF(J187&gt;0,0,IF(I187="A",H187,IF(I187="M",H187*12,IF(I187="W",H187*Lookups!D$9,IF(I187="B",H187*+Lookups!D$10,IF(I187="S",H187*2,IF(AND(H187=0,J187&gt;0),J187,"ERROR"))))))))</f>
        <v>0</v>
      </c>
      <c r="L187" s="140" t="str">
        <f>IF(OR(AND(K187=0,D187=0),J187&gt;0),"",IF(AND(E187="W",I187="W"),ROUND(K187-(D187*Lookups!$C$9),0),ROUND(+K187-G187,0)))</f>
        <v/>
      </c>
      <c r="M187" s="86" t="str">
        <f t="shared" si="8"/>
        <v/>
      </c>
      <c r="N187" s="132"/>
    </row>
    <row r="188" spans="1:20" x14ac:dyDescent="0.35">
      <c r="B188" s="27" t="s">
        <v>323</v>
      </c>
      <c r="C188" s="4" t="s">
        <v>689</v>
      </c>
      <c r="D188" s="22"/>
      <c r="E188" s="25"/>
      <c r="F188" s="13"/>
      <c r="G188" s="26">
        <f>IF(D188="",0,IF(F188&gt;0,0,IF(E188="A",D188,IF(E188="M",D188*12,IF(E188="W",D188*Lookups!C$9,IF(E188="B",D188*+Lookups!C$10,IF(E188="S",D188*2,IF(AND(D188=0,F188&gt;0),F188,"ERROR"))))))))</f>
        <v>0</v>
      </c>
      <c r="H188" s="22">
        <v>200</v>
      </c>
      <c r="I188" s="25" t="s">
        <v>42</v>
      </c>
      <c r="J188" s="13"/>
      <c r="K188" s="26">
        <f>IF(H188="",0,IF(J188&gt;0,0,IF(I188="A",H188,IF(I188="M",H188*12,IF(I188="W",H188*Lookups!D$9,IF(I188="B",H188*+Lookups!D$10,IF(I188="S",H188*2,IF(AND(H188=0,J188&gt;0),J188,"ERROR"))))))))</f>
        <v>2400</v>
      </c>
      <c r="L188" s="140">
        <f>IF(OR(AND(K188=0,D188=0),J188&gt;0),"",IF(AND(E188="W",I188="W"),ROUND(K188-(D188*Lookups!$C$9),0),ROUND(+K188-G188,0)))</f>
        <v>2400</v>
      </c>
      <c r="M188" s="86" t="str">
        <f t="shared" si="8"/>
        <v>N</v>
      </c>
      <c r="N188" s="132"/>
    </row>
    <row r="189" spans="1:20" x14ac:dyDescent="0.35">
      <c r="A189" s="144" t="s">
        <v>638</v>
      </c>
      <c r="B189" s="27" t="s">
        <v>324</v>
      </c>
      <c r="C189" s="4" t="s">
        <v>325</v>
      </c>
      <c r="D189" s="22"/>
      <c r="E189" s="25"/>
      <c r="F189" s="13"/>
      <c r="G189" s="26">
        <f>IF(D189="",0,IF(F189&gt;0,0,IF(E189="A",D189,IF(E189="M",D189*12,IF(E189="W",D189*Lookups!C$9,IF(E189="B",D189*+Lookups!C$10,IF(E189="S",D189*2,IF(AND(D189=0,F189&gt;0),F189,"ERROR"))))))))</f>
        <v>0</v>
      </c>
      <c r="H189" s="22"/>
      <c r="I189" s="25"/>
      <c r="J189" s="13"/>
      <c r="K189" s="26">
        <f>IF(H189="",0,IF(J189&gt;0,0,IF(I189="A",H189,IF(I189="M",H189*12,IF(I189="W",H189*Lookups!D$9,IF(I189="B",H189*+Lookups!D$10,IF(I189="S",H189*2,IF(AND(H189=0,J189&gt;0),J189,"ERROR"))))))))</f>
        <v>0</v>
      </c>
      <c r="L189" s="140" t="str">
        <f>IF(OR(AND(K189=0,D189=0),J189&gt;0),"",IF(AND(E189="W",I189="W"),ROUND(K189-(D189*Lookups!$C$9),0),ROUND(+K189-G189,0)))</f>
        <v/>
      </c>
      <c r="M189" s="86" t="str">
        <f t="shared" si="8"/>
        <v/>
      </c>
      <c r="N189" s="132"/>
    </row>
    <row r="190" spans="1:20" x14ac:dyDescent="0.35">
      <c r="A190" s="144" t="s">
        <v>638</v>
      </c>
      <c r="B190" s="119" t="s">
        <v>326</v>
      </c>
      <c r="C190" s="120" t="s">
        <v>327</v>
      </c>
      <c r="D190" s="122"/>
      <c r="E190" s="124"/>
      <c r="F190" s="121"/>
      <c r="G190" s="123">
        <f>IF(D190="",0,IF(F190&gt;0,0,IF(E190="A",D190,IF(E190="M",D190*12,IF(E190="W",D190*Lookups!C$9,IF(E190="B",D190*+Lookups!C$10,IF(E190="S",D190*2,IF(AND(D190=0,F190&gt;0),F190,"ERROR"))))))))</f>
        <v>0</v>
      </c>
      <c r="H190" s="122"/>
      <c r="I190" s="124"/>
      <c r="J190" s="121"/>
      <c r="K190" s="123">
        <f>IF(H190="",0,IF(J190&gt;0,0,IF(I190="A",H190,IF(I190="M",H190*12,IF(I190="W",H190*Lookups!D$9,IF(I190="B",H190*+Lookups!D$10,IF(I190="S",H190*2,IF(AND(H190=0,J190&gt;0),J190,"ERROR"))))))))</f>
        <v>0</v>
      </c>
      <c r="L190" s="96" t="str">
        <f>IF(OR(AND(K190=0,D190=0),J190&gt;0),"",IF(AND(E190="W",I190="W"),ROUND(K190-(D190*Lookups!$C$9),0),ROUND(+K190-G190,0)))</f>
        <v/>
      </c>
      <c r="M190" s="97" t="str">
        <f t="shared" si="8"/>
        <v/>
      </c>
      <c r="N190" s="133"/>
      <c r="O190" s="128" t="s">
        <v>483</v>
      </c>
      <c r="P190" s="125" t="s">
        <v>484</v>
      </c>
      <c r="Q190" s="125" t="s">
        <v>485</v>
      </c>
      <c r="R190" s="126" t="s">
        <v>396</v>
      </c>
      <c r="S190" s="127">
        <v>54495</v>
      </c>
      <c r="T190" s="64" t="s">
        <v>486</v>
      </c>
    </row>
    <row r="191" spans="1:20" x14ac:dyDescent="0.35">
      <c r="B191" s="27" t="s">
        <v>195</v>
      </c>
      <c r="C191" s="4" t="s">
        <v>196</v>
      </c>
      <c r="D191" s="22">
        <v>10</v>
      </c>
      <c r="E191" s="25" t="s">
        <v>41</v>
      </c>
      <c r="F191" s="13"/>
      <c r="G191" s="26">
        <f>IF(D191="",0,IF(F191&gt;0,0,IF(E191="A",D191,IF(E191="M",D191*12,IF(E191="W",D191*Lookups!C$9,IF(E191="B",D191*+Lookups!C$10,IF(E191="S",D191*2,IF(AND(D191=0,F191&gt;0),F191,"ERROR"))))))))</f>
        <v>520</v>
      </c>
      <c r="H191" s="22">
        <v>10</v>
      </c>
      <c r="I191" s="25" t="s">
        <v>41</v>
      </c>
      <c r="J191" s="13"/>
      <c r="K191" s="26">
        <f>IF(H191="",0,IF(J191&gt;0,0,IF(I191="A",H191,IF(I191="M",H191*12,IF(I191="W",H191*Lookups!D$9,IF(I191="B",H191*+Lookups!D$10,IF(I191="S",H191*2,IF(AND(H191=0,J191&gt;0),J191,"ERROR"))))))))</f>
        <v>520</v>
      </c>
      <c r="L191" s="140">
        <f>IF(OR(AND(K191=0,D191=0),J191&gt;0),"",IF(AND(E191="W",I191="W"),ROUND(K191-(D191*Lookups!$C$9),0),ROUND(+K191-G191,0)))</f>
        <v>0</v>
      </c>
      <c r="M191" s="86" t="str">
        <f t="shared" si="8"/>
        <v>S</v>
      </c>
      <c r="N191" s="132"/>
      <c r="P191" s="64" t="s">
        <v>489</v>
      </c>
      <c r="Q191" s="64" t="s">
        <v>419</v>
      </c>
      <c r="R191" s="65" t="s">
        <v>396</v>
      </c>
      <c r="S191" s="66">
        <v>53405</v>
      </c>
    </row>
    <row r="192" spans="1:20" s="141" customFormat="1" x14ac:dyDescent="0.35">
      <c r="A192" s="170"/>
      <c r="B192" s="80" t="s">
        <v>328</v>
      </c>
      <c r="C192" s="81" t="s">
        <v>329</v>
      </c>
      <c r="D192" s="83"/>
      <c r="E192" s="85"/>
      <c r="F192" s="82"/>
      <c r="G192" s="84">
        <f>IF(D192="",0,IF(F192&gt;0,0,IF(E192="A",D192,IF(E192="M",D192*12,IF(E192="W",D192*Lookups!C$9,IF(E192="B",D192*+Lookups!C$10,IF(E192="S",D192*2,IF(AND(D192=0,F192&gt;0),F192,"ERROR"))))))))</f>
        <v>0</v>
      </c>
      <c r="H192" s="83">
        <v>1800</v>
      </c>
      <c r="I192" s="85" t="s">
        <v>38</v>
      </c>
      <c r="J192" s="82"/>
      <c r="K192" s="84">
        <f>IF(H192="",0,IF(J192&gt;0,0,IF(I192="A",H192,IF(I192="M",H192*12,IF(I192="W",H192*Lookups!D$9,IF(I192="B",H192*+Lookups!D$10,IF(I192="S",H192*2,IF(AND(H192=0,J192&gt;0),J192,"ERROR"))))))))</f>
        <v>1800</v>
      </c>
      <c r="L192" s="140">
        <f>IF(OR(AND(K192=0,D192=0),J192&gt;0),"",IF(AND(E192="W",I192="W"),ROUND(K192-(D192*Lookups!$C$9),0),ROUND(+K192-G192,0)))</f>
        <v>1800</v>
      </c>
      <c r="M192" s="86" t="str">
        <f t="shared" si="8"/>
        <v>N</v>
      </c>
      <c r="N192" s="134"/>
      <c r="O192" s="87" t="s">
        <v>507</v>
      </c>
      <c r="P192" s="87"/>
      <c r="Q192" s="87"/>
      <c r="R192" s="88"/>
      <c r="S192" s="89"/>
    </row>
    <row r="193" spans="1:19" x14ac:dyDescent="0.35">
      <c r="B193" s="24" t="s">
        <v>330</v>
      </c>
      <c r="C193" s="4" t="s">
        <v>331</v>
      </c>
      <c r="D193" s="22"/>
      <c r="E193" s="25"/>
      <c r="F193" s="13">
        <v>600</v>
      </c>
      <c r="G193" s="26">
        <f>IF(D193="",0,IF(F193&gt;0,0,IF(E193="A",D193,IF(E193="M",D193*12,IF(E193="W",D193*Lookups!C$9,IF(E193="B",D193*+Lookups!C$10,IF(E193="S",D193*2,IF(AND(D193=0,F193&gt;0),F193,"ERROR"))))))))</f>
        <v>0</v>
      </c>
      <c r="H193" s="22"/>
      <c r="I193" s="25"/>
      <c r="J193" s="13"/>
      <c r="K193" s="26">
        <f>IF(H193="",0,IF(J193&gt;0,0,IF(I193="A",H193,IF(I193="M",H193*12,IF(I193="W",H193*Lookups!D$9,IF(I193="B",H193*+Lookups!D$10,IF(I193="S",H193*2,IF(AND(H193=0,J193&gt;0),J193,"ERROR"))))))))</f>
        <v>0</v>
      </c>
      <c r="L193" s="140" t="str">
        <f>IF(OR(AND(K193=0,D193=0),J193&gt;0),"",IF(AND(E193="W",I193="W"),ROUND(K193-(D193*Lookups!$C$9),0),ROUND(+K193-G193,0)))</f>
        <v/>
      </c>
      <c r="M193" s="86" t="str">
        <f t="shared" si="8"/>
        <v/>
      </c>
      <c r="N193" s="132"/>
    </row>
    <row r="194" spans="1:19" x14ac:dyDescent="0.35">
      <c r="A194" s="144" t="s">
        <v>638</v>
      </c>
      <c r="B194" s="119" t="s">
        <v>330</v>
      </c>
      <c r="C194" s="120" t="s">
        <v>332</v>
      </c>
      <c r="D194" s="122"/>
      <c r="E194" s="124"/>
      <c r="F194" s="121"/>
      <c r="G194" s="123">
        <f>IF(D194="",0,IF(F194&gt;0,0,IF(E194="A",D194,IF(E194="M",D194*12,IF(E194="W",D194*Lookups!C$9,IF(E194="B",D194*+Lookups!C$10,IF(E194="S",D194*2,IF(AND(D194=0,F194&gt;0),F194,"ERROR"))))))))</f>
        <v>0</v>
      </c>
      <c r="H194" s="122"/>
      <c r="I194" s="124"/>
      <c r="J194" s="121"/>
      <c r="K194" s="123">
        <f>IF(H194="",0,IF(J194&gt;0,0,IF(I194="A",H194,IF(I194="M",H194*12,IF(I194="W",H194*Lookups!D$9,IF(I194="B",H194*+Lookups!D$10,IF(I194="S",H194*2,IF(AND(H194=0,J194&gt;0),J194,"ERROR"))))))))</f>
        <v>0</v>
      </c>
      <c r="L194" s="96" t="str">
        <f>IF(OR(AND(K194=0,D194=0),J194&gt;0),"",IF(AND(E194="W",I194="W"),ROUND(K194-(D194*Lookups!$C$9),0),ROUND(+K194-G194,0)))</f>
        <v/>
      </c>
      <c r="M194" s="97" t="str">
        <f t="shared" si="8"/>
        <v/>
      </c>
      <c r="N194" s="133"/>
      <c r="O194" s="125" t="s">
        <v>503</v>
      </c>
      <c r="P194" s="125"/>
      <c r="Q194" s="125"/>
      <c r="R194" s="126"/>
      <c r="S194" s="127"/>
    </row>
    <row r="195" spans="1:19" x14ac:dyDescent="0.35">
      <c r="B195" s="24" t="s">
        <v>333</v>
      </c>
      <c r="C195" s="4" t="s">
        <v>334</v>
      </c>
      <c r="D195" s="22"/>
      <c r="E195" s="25"/>
      <c r="F195" s="13">
        <f>110*52</f>
        <v>5720</v>
      </c>
      <c r="G195" s="26">
        <f>IF(D195="",0,IF(F195&gt;0,0,IF(E195="A",D195,IF(E195="M",D195*12,IF(E195="W",D195*Lookups!C$9,IF(E195="B",D195*+Lookups!C$10,IF(E195="S",D195*2,IF(AND(D195=0,F195&gt;0),F195,"ERROR"))))))))</f>
        <v>0</v>
      </c>
      <c r="H195" s="22"/>
      <c r="I195" s="25"/>
      <c r="J195" s="13"/>
      <c r="K195" s="26">
        <f>IF(H195="",0,IF(J195&gt;0,0,IF(I195="A",H195,IF(I195="M",H195*12,IF(I195="W",H195*Lookups!D$9,IF(I195="B",H195*+Lookups!D$10,IF(I195="S",H195*2,IF(AND(H195=0,J195&gt;0),J195,"ERROR"))))))))</f>
        <v>0</v>
      </c>
      <c r="L195" s="140" t="str">
        <f>IF(OR(AND(K195=0,D195=0),J195&gt;0),"",IF(AND(E195="W",I195="W"),ROUND(K195-(D195*Lookups!$C$9),0),ROUND(+K195-G195,0)))</f>
        <v/>
      </c>
      <c r="M195" s="86" t="str">
        <f t="shared" si="8"/>
        <v/>
      </c>
      <c r="N195" s="132"/>
    </row>
    <row r="196" spans="1:19" x14ac:dyDescent="0.35">
      <c r="A196" s="144" t="s">
        <v>638</v>
      </c>
      <c r="B196" s="27" t="s">
        <v>197</v>
      </c>
      <c r="C196" s="4" t="s">
        <v>198</v>
      </c>
      <c r="D196" s="22"/>
      <c r="E196" s="25"/>
      <c r="F196" s="13"/>
      <c r="G196" s="26">
        <f>IF(D196="",0,IF(F196&gt;0,0,IF(E196="A",D196,IF(E196="M",D196*12,IF(E196="W",D196*Lookups!C$9,IF(E196="B",D196*+Lookups!C$10,IF(E196="S",D196*2,IF(AND(D196=0,F196&gt;0),F196,"ERROR"))))))))</f>
        <v>0</v>
      </c>
      <c r="H196" s="22"/>
      <c r="I196" s="25"/>
      <c r="J196" s="13"/>
      <c r="K196" s="26">
        <f>IF(H196="",0,IF(J196&gt;0,0,IF(I196="A",H196,IF(I196="M",H196*12,IF(I196="W",H196*Lookups!D$9,IF(I196="B",H196*+Lookups!D$10,IF(I196="S",H196*2,IF(AND(H196=0,J196&gt;0),J196,"ERROR"))))))))</f>
        <v>0</v>
      </c>
      <c r="L196" s="140" t="str">
        <f>IF(OR(AND(K196=0,D196=0),J196&gt;0),"",IF(AND(E196="W",I196="W"),ROUND(K196-(D196*Lookups!$C$9),0),ROUND(+K196-G196,0)))</f>
        <v/>
      </c>
      <c r="M196" s="86" t="str">
        <f t="shared" si="8"/>
        <v/>
      </c>
      <c r="N196" s="132"/>
    </row>
    <row r="197" spans="1:19" x14ac:dyDescent="0.35">
      <c r="A197" s="144" t="s">
        <v>638</v>
      </c>
      <c r="B197" s="119" t="s">
        <v>335</v>
      </c>
      <c r="C197" s="120" t="s">
        <v>336</v>
      </c>
      <c r="D197" s="122"/>
      <c r="E197" s="124"/>
      <c r="F197" s="121"/>
      <c r="G197" s="123">
        <f>IF(D197="",0,IF(F197&gt;0,0,IF(E197="A",D197,IF(E197="M",D197*12,IF(E197="W",D197*Lookups!C$9,IF(E197="B",D197*+Lookups!C$10,IF(E197="S",D197*2,IF(AND(D197=0,F197&gt;0),F197,"ERROR"))))))))</f>
        <v>0</v>
      </c>
      <c r="H197" s="122"/>
      <c r="I197" s="124"/>
      <c r="J197" s="121"/>
      <c r="K197" s="123">
        <f>IF(H197="",0,IF(J197&gt;0,0,IF(I197="A",H197,IF(I197="M",H197*12,IF(I197="W",H197*Lookups!D$9,IF(I197="B",H197*+Lookups!D$10,IF(I197="S",H197*2,IF(AND(H197=0,J197&gt;0),J197,"ERROR"))))))))</f>
        <v>0</v>
      </c>
      <c r="L197" s="96" t="str">
        <f>IF(OR(AND(K197=0,D197=0),J197&gt;0),"",IF(AND(E197="W",I197="W"),ROUND(K197-(D197*Lookups!$C$9),0),ROUND(+K197-G197,0)))</f>
        <v/>
      </c>
      <c r="M197" s="97" t="str">
        <f t="shared" si="8"/>
        <v/>
      </c>
      <c r="N197" s="133"/>
      <c r="O197" s="125" t="s">
        <v>503</v>
      </c>
      <c r="P197" s="125"/>
      <c r="Q197" s="125"/>
      <c r="R197" s="126"/>
      <c r="S197" s="127"/>
    </row>
    <row r="198" spans="1:19" x14ac:dyDescent="0.35">
      <c r="B198" s="27" t="s">
        <v>337</v>
      </c>
      <c r="C198" s="4" t="s">
        <v>338</v>
      </c>
      <c r="D198" s="22"/>
      <c r="E198" s="25"/>
      <c r="F198" s="13">
        <f>100*12</f>
        <v>1200</v>
      </c>
      <c r="G198" s="26">
        <f>IF(D198="",0,IF(F198&gt;0,0,IF(E198="A",D198,IF(E198="M",D198*12,IF(E198="W",D198*Lookups!C$9,IF(E198="B",D198*+Lookups!C$10,IF(E198="S",D198*2,IF(AND(D198=0,F198&gt;0),F198,"ERROR"))))))))</f>
        <v>0</v>
      </c>
      <c r="H198" s="22"/>
      <c r="I198" s="25"/>
      <c r="J198" s="13"/>
      <c r="K198" s="26">
        <f>IF(H198="",0,IF(J198&gt;0,0,IF(I198="A",H198,IF(I198="M",H198*12,IF(I198="W",H198*Lookups!D$9,IF(I198="B",H198*+Lookups!D$10,IF(I198="S",H198*2,IF(AND(H198=0,J198&gt;0),J198,"ERROR"))))))))</f>
        <v>0</v>
      </c>
      <c r="L198" s="140" t="str">
        <f>IF(OR(AND(K198=0,D198=0),J198&gt;0),"",IF(AND(E198="W",I198="W"),ROUND(K198-(D198*Lookups!$C$9),0),ROUND(+K198-G198,0)))</f>
        <v/>
      </c>
      <c r="M198" s="86" t="str">
        <f t="shared" si="8"/>
        <v/>
      </c>
      <c r="N198" s="132"/>
    </row>
    <row r="199" spans="1:19" x14ac:dyDescent="0.35">
      <c r="B199" s="27" t="s">
        <v>199</v>
      </c>
      <c r="C199" s="4" t="s">
        <v>200</v>
      </c>
      <c r="D199" s="22">
        <v>20</v>
      </c>
      <c r="E199" s="25" t="s">
        <v>41</v>
      </c>
      <c r="F199" s="13"/>
      <c r="G199" s="26">
        <f>IF(D199="",0,IF(F199&gt;0,0,IF(E199="A",D199,IF(E199="M",D199*12,IF(E199="W",D199*Lookups!C$9,IF(E199="B",D199*+Lookups!C$10,IF(E199="S",D199*2,IF(AND(D199=0,F199&gt;0),F199,"ERROR"))))))))</f>
        <v>1040</v>
      </c>
      <c r="H199" s="22">
        <v>20</v>
      </c>
      <c r="I199" s="25" t="s">
        <v>41</v>
      </c>
      <c r="J199" s="13"/>
      <c r="K199" s="26">
        <f>IF(H199="",0,IF(J199&gt;0,0,IF(I199="A",H199,IF(I199="M",H199*12,IF(I199="W",H199*Lookups!D$9,IF(I199="B",H199*+Lookups!D$10,IF(I199="S",H199*2,IF(AND(H199=0,J199&gt;0),J199,"ERROR"))))))))</f>
        <v>1040</v>
      </c>
      <c r="L199" s="140">
        <f>IF(OR(AND(K199=0,D199=0),J199&gt;0),"",IF(AND(E199="W",I199="W"),ROUND(K199-(D199*Lookups!$C$9),0),ROUND(+K199-G199,0)))</f>
        <v>0</v>
      </c>
      <c r="M199" s="86" t="str">
        <f t="shared" si="8"/>
        <v>S</v>
      </c>
      <c r="N199" s="132"/>
      <c r="O199" s="63" t="s">
        <v>487</v>
      </c>
      <c r="P199" s="64" t="s">
        <v>488</v>
      </c>
      <c r="Q199" s="64" t="s">
        <v>419</v>
      </c>
      <c r="R199" s="65" t="s">
        <v>396</v>
      </c>
      <c r="S199" s="66">
        <v>53405</v>
      </c>
    </row>
    <row r="200" spans="1:19" x14ac:dyDescent="0.35">
      <c r="B200" s="27" t="s">
        <v>339</v>
      </c>
      <c r="C200" s="4" t="s">
        <v>340</v>
      </c>
      <c r="D200" s="22"/>
      <c r="E200" s="25"/>
      <c r="F200" s="13"/>
      <c r="G200" s="26">
        <f>IF(D200="",0,IF(F200&gt;0,0,IF(E200="A",D200,IF(E200="M",D200*12,IF(E200="W",D200*Lookups!C$9,IF(E200="B",D200*+Lookups!C$10,IF(E200="S",D200*2,IF(AND(D200=0,F200&gt;0),F200,"ERROR"))))))))</f>
        <v>0</v>
      </c>
      <c r="H200" s="22">
        <v>25</v>
      </c>
      <c r="I200" s="25" t="s">
        <v>42</v>
      </c>
      <c r="J200" s="13"/>
      <c r="K200" s="26">
        <f>IF(H200="",0,IF(J200&gt;0,0,IF(I200="A",H200,IF(I200="M",H200*12,IF(I200="W",H200*Lookups!D$9,IF(I200="B",H200*+Lookups!D$10,IF(I200="S",H200*2,IF(AND(H200=0,J200&gt;0),J200,"ERROR"))))))))</f>
        <v>300</v>
      </c>
      <c r="L200" s="140">
        <f>IF(OR(AND(K200=0,D200=0),J200&gt;0),"",IF(AND(E200="W",I200="W"),ROUND(K200-(D200*Lookups!$C$9),0),ROUND(+K200-G200,0)))</f>
        <v>300</v>
      </c>
      <c r="M200" s="86" t="str">
        <f t="shared" si="8"/>
        <v>N</v>
      </c>
      <c r="N200" s="132"/>
    </row>
    <row r="201" spans="1:19" x14ac:dyDescent="0.35">
      <c r="B201" s="27" t="s">
        <v>201</v>
      </c>
      <c r="C201" s="4" t="s">
        <v>202</v>
      </c>
      <c r="D201" s="22">
        <v>25</v>
      </c>
      <c r="E201" s="25" t="s">
        <v>41</v>
      </c>
      <c r="F201" s="13"/>
      <c r="G201" s="26">
        <f>IF(D201="",0,IF(F201&gt;0,0,IF(E201="A",D201,IF(E201="M",D201*12,IF(E201="W",D201*Lookups!C$9,IF(E201="B",D201*+Lookups!C$10,IF(E201="S",D201*2,IF(AND(D201=0,F201&gt;0),F201,"ERROR"))))))))</f>
        <v>1300</v>
      </c>
      <c r="H201" s="22">
        <v>28</v>
      </c>
      <c r="I201" s="25" t="s">
        <v>41</v>
      </c>
      <c r="J201" s="13"/>
      <c r="K201" s="26">
        <f>IF(H201="",0,IF(J201&gt;0,0,IF(I201="A",H201,IF(I201="M",H201*12,IF(I201="W",H201*Lookups!D$9,IF(I201="B",H201*+Lookups!D$10,IF(I201="S",H201*2,IF(AND(H201=0,J201&gt;0),J201,"ERROR"))))))))</f>
        <v>1456</v>
      </c>
      <c r="L201" s="140">
        <f>IF(OR(AND(K201=0,D201=0),J201&gt;0),"",IF(AND(E201="W",I201="W"),ROUND(K201-(D201*Lookups!$C$9),0),ROUND(+K201-G201,0)))</f>
        <v>156</v>
      </c>
      <c r="M201" s="86" t="str">
        <f t="shared" si="8"/>
        <v>I</v>
      </c>
      <c r="N201" s="132"/>
      <c r="O201" s="63" t="s">
        <v>609</v>
      </c>
      <c r="P201" s="64" t="s">
        <v>610</v>
      </c>
      <c r="Q201" s="64" t="s">
        <v>419</v>
      </c>
      <c r="R201" s="65" t="s">
        <v>396</v>
      </c>
      <c r="S201" s="66">
        <v>53404</v>
      </c>
    </row>
    <row r="202" spans="1:19" x14ac:dyDescent="0.35">
      <c r="B202" s="27" t="s">
        <v>341</v>
      </c>
      <c r="C202" s="4" t="s">
        <v>342</v>
      </c>
      <c r="D202" s="22"/>
      <c r="E202" s="25"/>
      <c r="F202" s="13">
        <v>2000</v>
      </c>
      <c r="G202" s="26">
        <f>IF(D202="",0,IF(F202&gt;0,0,IF(E202="A",D202,IF(E202="M",D202*12,IF(E202="W",D202*Lookups!C$9,IF(E202="B",D202*+Lookups!C$10,IF(E202="S",D202*2,IF(AND(D202=0,F202&gt;0),F202,"ERROR"))))))))</f>
        <v>0</v>
      </c>
      <c r="H202" s="22"/>
      <c r="I202" s="25"/>
      <c r="J202" s="13"/>
      <c r="K202" s="26">
        <f>IF(H202="",0,IF(J202&gt;0,0,IF(I202="A",H202,IF(I202="M",H202*12,IF(I202="W",H202*Lookups!D$9,IF(I202="B",H202*+Lookups!D$10,IF(I202="S",H202*2,IF(AND(H202=0,J202&gt;0),J202,"ERROR"))))))))</f>
        <v>0</v>
      </c>
      <c r="L202" s="140" t="str">
        <f>IF(OR(AND(K202=0,D202=0),J202&gt;0),"",IF(AND(E202="W",I202="W"),ROUND(K202-(D202*Lookups!$C$9),0),ROUND(+K202-G202,0)))</f>
        <v/>
      </c>
      <c r="M202" s="86" t="str">
        <f t="shared" si="8"/>
        <v/>
      </c>
      <c r="N202" s="132"/>
    </row>
    <row r="203" spans="1:19" x14ac:dyDescent="0.35">
      <c r="A203" s="144" t="s">
        <v>638</v>
      </c>
      <c r="B203" s="90" t="s">
        <v>203</v>
      </c>
      <c r="C203" s="91" t="s">
        <v>204</v>
      </c>
      <c r="D203" s="93"/>
      <c r="E203" s="95"/>
      <c r="F203" s="92"/>
      <c r="G203" s="94">
        <f>IF(D203="",0,IF(F203&gt;0,0,IF(E203="A",D203,IF(E203="M",D203*12,IF(E203="W",D203*Lookups!C$9,IF(E203="B",D203*+Lookups!C$10,IF(E203="S",D203*2,IF(AND(D203=0,F203&gt;0),F203,"ERROR"))))))))</f>
        <v>0</v>
      </c>
      <c r="H203" s="93"/>
      <c r="I203" s="95"/>
      <c r="J203" s="92"/>
      <c r="K203" s="94">
        <f>IF(H203="",0,IF(J203&gt;0,0,IF(I203="A",H203,IF(I203="M",H203*12,IF(I203="W",H203*Lookups!D$9,IF(I203="B",H203*+Lookups!D$10,IF(I203="S",H203*2,IF(AND(H203=0,J203&gt;0),J203,"ERROR"))))))))</f>
        <v>0</v>
      </c>
      <c r="L203" s="96" t="str">
        <f>IF(OR(AND(K203=0,D203=0),J203&gt;0),"",IF(AND(E203="W",I203="W"),ROUND(K203-(D203*Lookups!$C$9),0),ROUND(+K203-G203,0)))</f>
        <v/>
      </c>
      <c r="M203" s="97" t="str">
        <f t="shared" si="8"/>
        <v/>
      </c>
      <c r="N203" s="135"/>
      <c r="O203" s="98" t="s">
        <v>506</v>
      </c>
      <c r="P203" s="98"/>
      <c r="Q203" s="98"/>
      <c r="R203" s="99"/>
      <c r="S203" s="100"/>
    </row>
    <row r="204" spans="1:19" x14ac:dyDescent="0.35">
      <c r="B204" s="27" t="s">
        <v>343</v>
      </c>
      <c r="C204" s="4" t="s">
        <v>344</v>
      </c>
      <c r="D204" s="22"/>
      <c r="E204" s="25"/>
      <c r="F204" s="13"/>
      <c r="G204" s="26">
        <f>IF(D204="",0,IF(F204&gt;0,0,IF(E204="A",D204,IF(E204="M",D204*12,IF(E204="W",D204*Lookups!C$9,IF(E204="B",D204*+Lookups!C$10,IF(E204="S",D204*2,IF(AND(D204=0,F204&gt;0),F204,"ERROR"))))))))</f>
        <v>0</v>
      </c>
      <c r="H204" s="22"/>
      <c r="I204" s="25"/>
      <c r="J204" s="13"/>
      <c r="K204" s="26">
        <f>IF(H204="",0,IF(J204&gt;0,0,IF(I204="A",H204,IF(I204="M",H204*12,IF(I204="W",H204*Lookups!D$9,IF(I204="B",H204*+Lookups!D$10,IF(I204="S",H204*2,IF(AND(H204=0,J204&gt;0),J204,"ERROR"))))))))</f>
        <v>0</v>
      </c>
      <c r="L204" s="140" t="str">
        <f>IF(OR(AND(K204=0,D204=0),J204&gt;0),"",IF(AND(E204="W",I204="W"),ROUND(K204-(D204*Lookups!$C$9),0),ROUND(+K204-G204,0)))</f>
        <v/>
      </c>
      <c r="M204" s="86" t="str">
        <f t="shared" si="8"/>
        <v/>
      </c>
      <c r="N204" s="132"/>
    </row>
    <row r="205" spans="1:19" x14ac:dyDescent="0.35">
      <c r="B205" s="27" t="s">
        <v>690</v>
      </c>
      <c r="C205" s="4" t="s">
        <v>691</v>
      </c>
      <c r="D205" s="22"/>
      <c r="E205" s="25"/>
      <c r="F205" s="13"/>
      <c r="G205" s="26">
        <f>IF(D205="",0,IF(F205&gt;0,0,IF(E205="A",D205,IF(E205="M",D205*12,IF(E205="W",D205*Lookups!C$9,IF(E205="B",D205*+Lookups!C$10,IF(E205="S",D205*2,IF(AND(D205=0,F205&gt;0),F205,"ERROR"))))))))</f>
        <v>0</v>
      </c>
      <c r="H205" s="22">
        <v>500</v>
      </c>
      <c r="I205" s="25" t="s">
        <v>38</v>
      </c>
      <c r="J205" s="13"/>
      <c r="K205" s="26">
        <f>IF(H205="",0,IF(J205&gt;0,0,IF(I205="A",H205,IF(I205="M",H205*12,IF(I205="W",H205*Lookups!D$9,IF(I205="B",H205*+Lookups!D$10,IF(I205="S",H205*2,IF(AND(H205=0,J205&gt;0),J205,"ERROR"))))))))</f>
        <v>500</v>
      </c>
      <c r="L205" s="140">
        <f>IF(OR(AND(K205=0,D205=0),J205&gt;0),"",IF(AND(E205="W",I205="W"),ROUND(K205-(D205*Lookups!$C$9),0),ROUND(+K205-G205,0)))</f>
        <v>500</v>
      </c>
      <c r="M205" s="86" t="str">
        <f t="shared" ref="M205" si="12">IF(J205&gt;0,"E",IF(L205="","",IF(L205=0,"S",IF(AND(L205&gt;0,NOT(D205=0)),"I",IF(AND(L205&gt;0,D205=0),"N",IF(L205&lt;0,"D","ERROR"))))))</f>
        <v>N</v>
      </c>
      <c r="N205" s="132"/>
    </row>
    <row r="206" spans="1:19" x14ac:dyDescent="0.35">
      <c r="A206" s="144" t="s">
        <v>638</v>
      </c>
      <c r="B206" s="27" t="s">
        <v>345</v>
      </c>
      <c r="C206" s="4" t="s">
        <v>168</v>
      </c>
      <c r="D206" s="22"/>
      <c r="E206" s="25"/>
      <c r="F206" s="13"/>
      <c r="G206" s="26">
        <f>IF(D206="",0,IF(F206&gt;0,0,IF(E206="A",D206,IF(E206="M",D206*12,IF(E206="W",D206*Lookups!C$9,IF(E206="B",D206*+Lookups!C$10,IF(E206="S",D206*2,IF(AND(D206=0,F206&gt;0),F206,"ERROR"))))))))</f>
        <v>0</v>
      </c>
      <c r="H206" s="22"/>
      <c r="I206" s="25"/>
      <c r="J206" s="13"/>
      <c r="K206" s="26">
        <f>IF(H206="",0,IF(J206&gt;0,0,IF(I206="A",H206,IF(I206="M",H206*12,IF(I206="W",H206*Lookups!D$9,IF(I206="B",H206*+Lookups!D$10,IF(I206="S",H206*2,IF(AND(H206=0,J206&gt;0),J206,"ERROR"))))))))</f>
        <v>0</v>
      </c>
      <c r="L206" s="140" t="str">
        <f>IF(OR(AND(K206=0,D206=0),J206&gt;0),"",IF(AND(E206="W",I206="W"),ROUND(K206-(D206*Lookups!$C$9),0),ROUND(+K206-G206,0)))</f>
        <v/>
      </c>
      <c r="M206" s="86" t="str">
        <f t="shared" si="8"/>
        <v/>
      </c>
      <c r="N206" s="132"/>
    </row>
    <row r="207" spans="1:19" x14ac:dyDescent="0.35">
      <c r="B207" s="27" t="s">
        <v>346</v>
      </c>
      <c r="C207" s="4" t="s">
        <v>347</v>
      </c>
      <c r="D207" s="22"/>
      <c r="E207" s="25"/>
      <c r="F207" s="13"/>
      <c r="G207" s="26">
        <f>IF(D207="",0,IF(F207&gt;0,0,IF(E207="A",D207,IF(E207="M",D207*12,IF(E207="W",D207*Lookups!C$9,IF(E207="B",D207*+Lookups!C$10,IF(E207="S",D207*2,IF(AND(D207=0,F207&gt;0),F207,"ERROR"))))))))</f>
        <v>0</v>
      </c>
      <c r="H207" s="22"/>
      <c r="I207" s="25"/>
      <c r="J207" s="13"/>
      <c r="K207" s="26">
        <f>IF(H207="",0,IF(J207&gt;0,0,IF(I207="A",H207,IF(I207="M",H207*12,IF(I207="W",H207*Lookups!D$9,IF(I207="B",H207*+Lookups!D$10,IF(I207="S",H207*2,IF(AND(H207=0,J207&gt;0),J207,"ERROR"))))))))</f>
        <v>0</v>
      </c>
      <c r="L207" s="140" t="str">
        <f>IF(OR(AND(K207=0,D207=0),J207&gt;0),"",IF(AND(E207="W",I207="W"),ROUND(K207-(D207*Lookups!$C$9),0),ROUND(+K207-G207,0)))</f>
        <v/>
      </c>
      <c r="M207" s="86" t="str">
        <f t="shared" si="8"/>
        <v/>
      </c>
      <c r="N207" s="132"/>
    </row>
    <row r="208" spans="1:19" x14ac:dyDescent="0.35">
      <c r="B208" s="24" t="s">
        <v>205</v>
      </c>
      <c r="C208" s="4" t="s">
        <v>206</v>
      </c>
      <c r="D208" s="22">
        <v>60</v>
      </c>
      <c r="E208" s="25" t="s">
        <v>41</v>
      </c>
      <c r="F208" s="13"/>
      <c r="G208" s="26">
        <f>IF(D208="",0,IF(F208&gt;0,0,IF(E208="A",D208,IF(E208="M",D208*12,IF(E208="W",D208*Lookups!C$9,IF(E208="B",D208*+Lookups!C$10,IF(E208="S",D208*2,IF(AND(D208=0,F208&gt;0),F208,"ERROR"))))))))</f>
        <v>3120</v>
      </c>
      <c r="H208" s="22">
        <v>70</v>
      </c>
      <c r="I208" s="25" t="s">
        <v>41</v>
      </c>
      <c r="J208" s="13"/>
      <c r="K208" s="26">
        <f>IF(H208="",0,IF(J208&gt;0,0,IF(I208="A",H208,IF(I208="M",H208*12,IF(I208="W",H208*Lookups!D$9,IF(I208="B",H208*+Lookups!D$10,IF(I208="S",H208*2,IF(AND(H208=0,J208&gt;0),J208,"ERROR"))))))))</f>
        <v>3640</v>
      </c>
      <c r="L208" s="140">
        <f>IF(OR(AND(K208=0,D208=0),J208&gt;0),"",IF(AND(E208="W",I208="W"),ROUND(K208-(D208*Lookups!$C$9),0),ROUND(+K208-G208,0)))</f>
        <v>520</v>
      </c>
      <c r="M208" s="86" t="str">
        <f t="shared" ref="M208:M235" si="13">IF(J208&gt;0,"E",IF(L208="","",IF(L208=0,"S",IF(AND(L208&gt;0,NOT(D208=0)),"I",IF(AND(L208&gt;0,D208=0),"N",IF(L208&lt;0,"D","ERROR"))))))</f>
        <v>I</v>
      </c>
      <c r="N208" s="132"/>
      <c r="O208" s="63" t="s">
        <v>490</v>
      </c>
      <c r="P208" s="64" t="s">
        <v>491</v>
      </c>
      <c r="Q208" s="64" t="s">
        <v>419</v>
      </c>
      <c r="R208" s="65" t="s">
        <v>396</v>
      </c>
      <c r="S208" s="66">
        <v>53405</v>
      </c>
    </row>
    <row r="209" spans="1:19" x14ac:dyDescent="0.35">
      <c r="B209" s="27" t="s">
        <v>207</v>
      </c>
      <c r="C209" s="4" t="s">
        <v>208</v>
      </c>
      <c r="D209" s="22">
        <v>145</v>
      </c>
      <c r="E209" s="25" t="s">
        <v>42</v>
      </c>
      <c r="F209" s="13"/>
      <c r="G209" s="26">
        <f>IF(D209="",0,IF(F209&gt;0,0,IF(E209="A",D209,IF(E209="M",D209*12,IF(E209="W",D209*Lookups!C$9,IF(E209="B",D209*+Lookups!C$10,IF(E209="S",D209*2,IF(AND(D209=0,F209&gt;0),F209,"ERROR"))))))))</f>
        <v>1740</v>
      </c>
      <c r="H209" s="22">
        <v>145</v>
      </c>
      <c r="I209" s="25" t="s">
        <v>42</v>
      </c>
      <c r="J209" s="13"/>
      <c r="K209" s="26">
        <f>IF(H209="",0,IF(J209&gt;0,0,IF(I209="A",H209,IF(I209="M",H209*12,IF(I209="W",H209*Lookups!D$9,IF(I209="B",H209*+Lookups!D$10,IF(I209="S",H209*2,IF(AND(H209=0,J209&gt;0),J209,"ERROR"))))))))</f>
        <v>1740</v>
      </c>
      <c r="L209" s="140">
        <f>IF(OR(AND(K209=0,D209=0),J209&gt;0),"",IF(AND(E209="W",I209="W"),ROUND(K209-(D209*Lookups!$C$9),0),ROUND(+K209-G209,0)))</f>
        <v>0</v>
      </c>
      <c r="M209" s="86" t="str">
        <f t="shared" si="13"/>
        <v>S</v>
      </c>
      <c r="N209" s="132"/>
      <c r="P209" s="64" t="s">
        <v>611</v>
      </c>
      <c r="Q209" s="64" t="s">
        <v>419</v>
      </c>
      <c r="R209" s="65" t="s">
        <v>396</v>
      </c>
      <c r="S209" s="66">
        <v>53402</v>
      </c>
    </row>
    <row r="210" spans="1:19" x14ac:dyDescent="0.35">
      <c r="B210" s="27" t="s">
        <v>209</v>
      </c>
      <c r="C210" s="4" t="s">
        <v>19</v>
      </c>
      <c r="D210" s="22">
        <v>10000</v>
      </c>
      <c r="E210" s="25" t="s">
        <v>38</v>
      </c>
      <c r="F210" s="13"/>
      <c r="G210" s="26">
        <f>IF(D210="",0,IF(F210&gt;0,0,IF(E210="A",D210,IF(E210="M",D210*12,IF(E210="W",D210*Lookups!C$9,IF(E210="B",D210*+Lookups!C$10,IF(E210="S",D210*2,IF(AND(D210=0,F210&gt;0),F210,"ERROR"))))))))</f>
        <v>10000</v>
      </c>
      <c r="H210" s="22">
        <v>15000</v>
      </c>
      <c r="I210" s="25" t="s">
        <v>38</v>
      </c>
      <c r="J210" s="13"/>
      <c r="K210" s="26">
        <f>IF(H210="",0,IF(J210&gt;0,0,IF(I210="A",H210,IF(I210="M",H210*12,IF(I210="W",H210*Lookups!D$9,IF(I210="B",H210*+Lookups!D$10,IF(I210="S",H210*2,IF(AND(H210=0,J210&gt;0),J210,"ERROR"))))))))</f>
        <v>15000</v>
      </c>
      <c r="L210" s="140">
        <f>IF(OR(AND(K210=0,D210=0),J210&gt;0),"",IF(AND(E210="W",I210="W"),ROUND(K210-(D210*Lookups!$C$9),0),ROUND(+K210-G210,0)))</f>
        <v>5000</v>
      </c>
      <c r="M210" s="86" t="str">
        <f t="shared" si="13"/>
        <v>I</v>
      </c>
      <c r="N210" s="132"/>
      <c r="O210" s="63" t="s">
        <v>612</v>
      </c>
      <c r="P210" s="64" t="s">
        <v>613</v>
      </c>
      <c r="Q210" s="64" t="s">
        <v>563</v>
      </c>
      <c r="R210" s="65" t="s">
        <v>396</v>
      </c>
      <c r="S210" s="66">
        <v>53406</v>
      </c>
    </row>
    <row r="211" spans="1:19" x14ac:dyDescent="0.35">
      <c r="A211" s="144" t="s">
        <v>638</v>
      </c>
      <c r="B211" s="27" t="s">
        <v>210</v>
      </c>
      <c r="C211" s="4" t="s">
        <v>378</v>
      </c>
      <c r="D211" s="22"/>
      <c r="E211" s="25"/>
      <c r="F211" s="13"/>
      <c r="G211" s="26">
        <f>IF(D211="",0,IF(F211&gt;0,0,IF(E211="A",D211,IF(E211="M",D211*12,IF(E211="W",D211*Lookups!C$9,IF(E211="B",D211*+Lookups!C$10,IF(E211="S",D211*2,IF(AND(D211=0,F211&gt;0),F211,"ERROR"))))))))</f>
        <v>0</v>
      </c>
      <c r="H211" s="22"/>
      <c r="I211" s="25"/>
      <c r="J211" s="13"/>
      <c r="K211" s="26">
        <f>IF(H211="",0,IF(J211&gt;0,0,IF(I211="A",H211,IF(I211="M",H211*12,IF(I211="W",H211*Lookups!D$9,IF(I211="B",H211*+Lookups!D$10,IF(I211="S",H211*2,IF(AND(H211=0,J211&gt;0),J211,"ERROR"))))))))</f>
        <v>0</v>
      </c>
      <c r="L211" s="140" t="str">
        <f>IF(OR(AND(K211=0,D211=0),J211&gt;0),"",IF(AND(E211="W",I211="W"),ROUND(K211-(D211*Lookups!$C$9),0),ROUND(+K211-G211,0)))</f>
        <v/>
      </c>
      <c r="M211" s="86" t="str">
        <f t="shared" si="13"/>
        <v/>
      </c>
      <c r="N211" s="132"/>
    </row>
    <row r="212" spans="1:19" x14ac:dyDescent="0.35">
      <c r="B212" s="27" t="s">
        <v>210</v>
      </c>
      <c r="C212" s="4" t="s">
        <v>211</v>
      </c>
      <c r="D212" s="22">
        <v>1500</v>
      </c>
      <c r="E212" s="25" t="s">
        <v>38</v>
      </c>
      <c r="F212" s="13"/>
      <c r="G212" s="26">
        <f>IF(D212="",0,IF(F212&gt;0,0,IF(E212="A",D212,IF(E212="M",D212*12,IF(E212="W",D212*Lookups!C$9,IF(E212="B",D212*+Lookups!C$10,IF(E212="S",D212*2,IF(AND(D212=0,F212&gt;0),F212,"ERROR"))))))))</f>
        <v>1500</v>
      </c>
      <c r="H212" s="22">
        <v>1600</v>
      </c>
      <c r="I212" s="25" t="s">
        <v>38</v>
      </c>
      <c r="J212" s="13"/>
      <c r="K212" s="26">
        <f>IF(H212="",0,IF(J212&gt;0,0,IF(I212="A",H212,IF(I212="M",H212*12,IF(I212="W",H212*Lookups!D$9,IF(I212="B",H212*+Lookups!D$10,IF(I212="S",H212*2,IF(AND(H212=0,J212&gt;0),J212,"ERROR"))))))))</f>
        <v>1600</v>
      </c>
      <c r="L212" s="140">
        <f>IF(OR(AND(K212=0,D212=0),J212&gt;0),"",IF(AND(E212="W",I212="W"),ROUND(K212-(D212*Lookups!$C$9),0),ROUND(+K212-G212,0)))</f>
        <v>100</v>
      </c>
      <c r="M212" s="86" t="str">
        <f t="shared" si="13"/>
        <v>I</v>
      </c>
      <c r="N212" s="132"/>
      <c r="O212" s="63" t="s">
        <v>664</v>
      </c>
      <c r="P212" s="64" t="s">
        <v>665</v>
      </c>
      <c r="Q212" s="64" t="s">
        <v>419</v>
      </c>
      <c r="R212" s="65" t="s">
        <v>396</v>
      </c>
      <c r="S212" s="66">
        <v>53402</v>
      </c>
    </row>
    <row r="213" spans="1:19" x14ac:dyDescent="0.35">
      <c r="A213" s="144" t="s">
        <v>638</v>
      </c>
      <c r="B213" s="27" t="s">
        <v>210</v>
      </c>
      <c r="C213" s="4" t="s">
        <v>379</v>
      </c>
      <c r="D213" s="22"/>
      <c r="E213" s="25"/>
      <c r="F213" s="13"/>
      <c r="G213" s="26">
        <f>IF(D213="",0,IF(F213&gt;0,0,IF(E213="A",D213,IF(E213="M",D213*12,IF(E213="W",D213*Lookups!C$9,IF(E213="B",D213*+Lookups!C$10,IF(E213="S",D213*2,IF(AND(D213=0,F213&gt;0),F213,"ERROR"))))))))</f>
        <v>0</v>
      </c>
      <c r="H213" s="22"/>
      <c r="I213" s="25"/>
      <c r="J213" s="13"/>
      <c r="K213" s="26">
        <f>IF(H213="",0,IF(J213&gt;0,0,IF(I213="A",H213,IF(I213="M",H213*12,IF(I213="W",H213*Lookups!D$9,IF(I213="B",H213*+Lookups!D$10,IF(I213="S",H213*2,IF(AND(H213=0,J213&gt;0),J213,"ERROR"))))))))</f>
        <v>0</v>
      </c>
      <c r="L213" s="140" t="str">
        <f>IF(OR(AND(K213=0,D213=0),J213&gt;0),"",IF(AND(E213="W",I213="W"),ROUND(K213-(D213*Lookups!$C$9),0),ROUND(+K213-G213,0)))</f>
        <v/>
      </c>
      <c r="M213" s="86" t="str">
        <f t="shared" si="13"/>
        <v/>
      </c>
      <c r="N213" s="132"/>
    </row>
    <row r="214" spans="1:19" x14ac:dyDescent="0.35">
      <c r="B214" s="27" t="s">
        <v>692</v>
      </c>
      <c r="C214" s="4" t="s">
        <v>33</v>
      </c>
      <c r="D214" s="22"/>
      <c r="E214" s="25"/>
      <c r="F214" s="13"/>
      <c r="G214" s="26">
        <f>IF(D214="",0,IF(F214&gt;0,0,IF(E214="A",D214,IF(E214="M",D214*12,IF(E214="W",D214*Lookups!C$9,IF(E214="B",D214*+Lookups!C$10,IF(E214="S",D214*2,IF(AND(D214=0,F214&gt;0),F214,"ERROR"))))))))</f>
        <v>0</v>
      </c>
      <c r="H214" s="22">
        <v>100</v>
      </c>
      <c r="I214" s="25" t="s">
        <v>42</v>
      </c>
      <c r="J214" s="13"/>
      <c r="K214" s="26">
        <f>IF(H214="",0,IF(J214&gt;0,0,IF(I214="A",H214,IF(I214="M",H214*12,IF(I214="W",H214*Lookups!D$9,IF(I214="B",H214*+Lookups!D$10,IF(I214="S",H214*2,IF(AND(H214=0,J214&gt;0),J214,"ERROR"))))))))</f>
        <v>1200</v>
      </c>
      <c r="L214" s="140">
        <f>IF(OR(AND(K214=0,D214=0),J214&gt;0),"",IF(AND(E214="W",I214="W"),ROUND(K214-(D214*Lookups!$C$9),0),ROUND(+K214-G214,0)))</f>
        <v>1200</v>
      </c>
      <c r="M214" s="86" t="str">
        <f t="shared" ref="M214" si="14">IF(J214&gt;0,"E",IF(L214="","",IF(L214=0,"S",IF(AND(L214&gt;0,NOT(D214=0)),"I",IF(AND(L214&gt;0,D214=0),"N",IF(L214&lt;0,"D","ERROR"))))))</f>
        <v>N</v>
      </c>
      <c r="N214" s="132"/>
    </row>
    <row r="215" spans="1:19" x14ac:dyDescent="0.35">
      <c r="B215" s="27" t="s">
        <v>666</v>
      </c>
      <c r="C215" s="4" t="s">
        <v>19</v>
      </c>
      <c r="D215" s="22">
        <v>70</v>
      </c>
      <c r="E215" s="25" t="s">
        <v>42</v>
      </c>
      <c r="F215" s="13"/>
      <c r="G215" s="26">
        <f>IF(D215="",0,IF(F215&gt;0,0,IF(E215="A",D215,IF(E215="M",D215*12,IF(E215="W",D215*Lookups!C$9,IF(E215="B",D215*+Lookups!C$10,IF(E215="S",D215*2,IF(AND(D215=0,F215&gt;0),F215,"ERROR"))))))))</f>
        <v>840</v>
      </c>
      <c r="H215" s="22">
        <v>75</v>
      </c>
      <c r="I215" s="25" t="s">
        <v>42</v>
      </c>
      <c r="J215" s="13"/>
      <c r="K215" s="26">
        <f>IF(H215="",0,IF(J215&gt;0,0,IF(I215="A",H215,IF(I215="M",H215*12,IF(I215="W",H215*Lookups!D$9,IF(I215="B",H215*+Lookups!D$10,IF(I215="S",H215*2,IF(AND(H215=0,J215&gt;0),J215,"ERROR"))))))))</f>
        <v>900</v>
      </c>
      <c r="L215" s="140">
        <f>IF(OR(AND(K215=0,D215=0),J215&gt;0),"",IF(AND(E215="W",I215="W"),ROUND(K215-(D215*Lookups!$C$9),0),ROUND(+K215-G215,0)))</f>
        <v>60</v>
      </c>
      <c r="M215" s="86" t="str">
        <f t="shared" si="13"/>
        <v>I</v>
      </c>
      <c r="N215" s="132"/>
      <c r="O215" s="63" t="s">
        <v>440</v>
      </c>
      <c r="P215" s="64" t="s">
        <v>441</v>
      </c>
      <c r="Q215" s="64" t="s">
        <v>395</v>
      </c>
      <c r="R215" s="65" t="s">
        <v>396</v>
      </c>
      <c r="S215" s="66">
        <v>53406</v>
      </c>
    </row>
    <row r="216" spans="1:19" x14ac:dyDescent="0.35">
      <c r="A216" s="144" t="s">
        <v>638</v>
      </c>
      <c r="B216" s="27" t="s">
        <v>348</v>
      </c>
      <c r="C216" s="4" t="s">
        <v>349</v>
      </c>
      <c r="D216" s="22"/>
      <c r="E216" s="25"/>
      <c r="F216" s="13"/>
      <c r="G216" s="26">
        <f>IF(D216="",0,IF(F216&gt;0,0,IF(E216="A",D216,IF(E216="M",D216*12,IF(E216="W",D216*Lookups!C$9,IF(E216="B",D216*+Lookups!C$10,IF(E216="S",D216*2,IF(AND(D216=0,F216&gt;0),F216,"ERROR"))))))))</f>
        <v>0</v>
      </c>
      <c r="H216" s="22"/>
      <c r="I216" s="25"/>
      <c r="J216" s="13"/>
      <c r="K216" s="26">
        <f>IF(H216="",0,IF(J216&gt;0,0,IF(I216="A",H216,IF(I216="M",H216*12,IF(I216="W",H216*Lookups!D$9,IF(I216="B",H216*+Lookups!D$10,IF(I216="S",H216*2,IF(AND(H216=0,J216&gt;0),J216,"ERROR"))))))))</f>
        <v>0</v>
      </c>
      <c r="L216" s="140" t="str">
        <f>IF(OR(AND(K216=0,D216=0),J216&gt;0),"",IF(AND(E216="W",I216="W"),ROUND(K216-(D216*Lookups!$C$9),0),ROUND(+K216-G216,0)))</f>
        <v/>
      </c>
      <c r="M216" s="86" t="str">
        <f t="shared" si="13"/>
        <v/>
      </c>
      <c r="N216" s="132"/>
    </row>
    <row r="217" spans="1:19" x14ac:dyDescent="0.35">
      <c r="B217" s="27" t="s">
        <v>212</v>
      </c>
      <c r="C217" s="4" t="s">
        <v>213</v>
      </c>
      <c r="D217" s="22">
        <v>20</v>
      </c>
      <c r="E217" s="25" t="s">
        <v>41</v>
      </c>
      <c r="F217" s="13"/>
      <c r="G217" s="26">
        <f>IF(D217="",0,IF(F217&gt;0,0,IF(E217="A",D217,IF(E217="M",D217*12,IF(E217="W",D217*Lookups!C$9,IF(E217="B",D217*+Lookups!C$10,IF(E217="S",D217*2,IF(AND(D217=0,F217&gt;0),F217,"ERROR"))))))))</f>
        <v>1040</v>
      </c>
      <c r="H217" s="22">
        <v>20</v>
      </c>
      <c r="I217" s="25" t="s">
        <v>41</v>
      </c>
      <c r="J217" s="13"/>
      <c r="K217" s="26">
        <f>IF(H217="",0,IF(J217&gt;0,0,IF(I217="A",H217,IF(I217="M",H217*12,IF(I217="W",H217*Lookups!D$9,IF(I217="B",H217*+Lookups!D$10,IF(I217="S",H217*2,IF(AND(H217=0,J217&gt;0),J217,"ERROR"))))))))</f>
        <v>1040</v>
      </c>
      <c r="L217" s="140">
        <f>IF(OR(AND(K217=0,D217=0),J217&gt;0),"",IF(AND(E217="W",I217="W"),ROUND(K217-(D217*Lookups!$C$9),0),ROUND(+K217-G217,0)))</f>
        <v>0</v>
      </c>
      <c r="M217" s="86" t="str">
        <f t="shared" si="13"/>
        <v>S</v>
      </c>
      <c r="N217" s="132"/>
      <c r="O217" s="63" t="s">
        <v>614</v>
      </c>
      <c r="P217" s="64" t="s">
        <v>615</v>
      </c>
      <c r="Q217" s="64" t="s">
        <v>563</v>
      </c>
      <c r="R217" s="65" t="s">
        <v>396</v>
      </c>
      <c r="S217" s="66">
        <v>53406</v>
      </c>
    </row>
    <row r="218" spans="1:19" x14ac:dyDescent="0.35">
      <c r="A218" s="144" t="s">
        <v>638</v>
      </c>
      <c r="B218" s="90" t="s">
        <v>214</v>
      </c>
      <c r="C218" s="91" t="s">
        <v>215</v>
      </c>
      <c r="D218" s="93"/>
      <c r="E218" s="95"/>
      <c r="F218" s="92"/>
      <c r="G218" s="94">
        <f>IF(D218="",0,IF(F218&gt;0,0,IF(E218="A",D218,IF(E218="M",D218*12,IF(E218="W",D218*Lookups!C$9,IF(E218="B",D218*+Lookups!C$10,IF(E218="S",D218*2,IF(AND(D218=0,F218&gt;0),F218,"ERROR"))))))))</f>
        <v>0</v>
      </c>
      <c r="H218" s="93"/>
      <c r="I218" s="95"/>
      <c r="J218" s="92"/>
      <c r="K218" s="94">
        <f>IF(H218="",0,IF(J218&gt;0,0,IF(I218="A",H218,IF(I218="M",H218*12,IF(I218="W",H218*Lookups!D$9,IF(I218="B",H218*+Lookups!D$10,IF(I218="S",H218*2,IF(AND(H218=0,J218&gt;0),J218,"ERROR"))))))))</f>
        <v>0</v>
      </c>
      <c r="L218" s="96" t="str">
        <f>IF(OR(AND(K218=0,D218=0),J218&gt;0),"",IF(AND(E218="W",I218="W"),ROUND(K218-(D218*Lookups!$C$9),0),ROUND(+K218-G218,0)))</f>
        <v/>
      </c>
      <c r="M218" s="97" t="str">
        <f t="shared" si="13"/>
        <v/>
      </c>
      <c r="N218" s="135" t="s">
        <v>506</v>
      </c>
      <c r="O218" s="98"/>
      <c r="P218" s="98"/>
      <c r="Q218" s="98"/>
      <c r="R218" s="99"/>
      <c r="S218" s="100"/>
    </row>
    <row r="219" spans="1:19" x14ac:dyDescent="0.35">
      <c r="B219" s="27" t="s">
        <v>216</v>
      </c>
      <c r="C219" s="4" t="s">
        <v>217</v>
      </c>
      <c r="D219" s="22">
        <v>425</v>
      </c>
      <c r="E219" s="25" t="s">
        <v>42</v>
      </c>
      <c r="F219" s="13"/>
      <c r="G219" s="26">
        <f>IF(D219="",0,IF(F219&gt;0,0,IF(E219="A",D219,IF(E219="M",D219*12,IF(E219="W",D219*Lookups!C$9,IF(E219="B",D219*+Lookups!C$10,IF(E219="S",D219*2,IF(AND(D219=0,F219&gt;0),F219,"ERROR"))))))))</f>
        <v>5100</v>
      </c>
      <c r="H219" s="22">
        <v>425</v>
      </c>
      <c r="I219" s="25" t="s">
        <v>42</v>
      </c>
      <c r="J219" s="13"/>
      <c r="K219" s="26">
        <f>IF(H219="",0,IF(J219&gt;0,0,IF(I219="A",H219,IF(I219="M",H219*12,IF(I219="W",H219*Lookups!D$9,IF(I219="B",H219*+Lookups!D$10,IF(I219="S",H219*2,IF(AND(H219=0,J219&gt;0),J219,"ERROR"))))))))</f>
        <v>5100</v>
      </c>
      <c r="L219" s="140">
        <f>IF(OR(AND(K219=0,D219=0),J219&gt;0),"",IF(AND(E219="W",I219="W"),ROUND(K219-(D219*Lookups!$C$9),0),ROUND(+K219-G219,0)))</f>
        <v>0</v>
      </c>
      <c r="M219" s="86" t="str">
        <f t="shared" si="13"/>
        <v>S</v>
      </c>
      <c r="N219" s="132"/>
      <c r="O219" s="63" t="s">
        <v>616</v>
      </c>
      <c r="P219" s="64" t="s">
        <v>617</v>
      </c>
      <c r="Q219" s="64" t="s">
        <v>419</v>
      </c>
      <c r="R219" s="65" t="s">
        <v>396</v>
      </c>
      <c r="S219" s="66">
        <v>53402</v>
      </c>
    </row>
    <row r="220" spans="1:19" x14ac:dyDescent="0.35">
      <c r="B220" s="27" t="s">
        <v>218</v>
      </c>
      <c r="C220" s="4" t="s">
        <v>215</v>
      </c>
      <c r="D220" s="22">
        <v>95</v>
      </c>
      <c r="E220" s="25" t="s">
        <v>42</v>
      </c>
      <c r="F220" s="13"/>
      <c r="G220" s="26">
        <f>IF(D220="",0,IF(F220&gt;0,0,IF(E220="A",D220,IF(E220="M",D220*12,IF(E220="W",D220*Lookups!C$9,IF(E220="B",D220*+Lookups!C$10,IF(E220="S",D220*2,IF(AND(D220=0,F220&gt;0),F220,"ERROR"))))))))</f>
        <v>1140</v>
      </c>
      <c r="H220" s="22">
        <v>110</v>
      </c>
      <c r="I220" s="25" t="s">
        <v>42</v>
      </c>
      <c r="J220" s="13"/>
      <c r="K220" s="26">
        <f>IF(H220="",0,IF(J220&gt;0,0,IF(I220="A",H220,IF(I220="M",H220*12,IF(I220="W",H220*Lookups!D$9,IF(I220="B",H220*+Lookups!D$10,IF(I220="S",H220*2,IF(AND(H220=0,J220&gt;0),J220,"ERROR"))))))))</f>
        <v>1320</v>
      </c>
      <c r="L220" s="140">
        <f>IF(OR(AND(K220=0,D220=0),J220&gt;0),"",IF(AND(E220="W",I220="W"),ROUND(K220-(D220*Lookups!$C$9),0),ROUND(+K220-G220,0)))</f>
        <v>180</v>
      </c>
      <c r="M220" s="86" t="str">
        <f t="shared" si="13"/>
        <v>I</v>
      </c>
      <c r="N220" s="132"/>
      <c r="O220" s="63" t="s">
        <v>618</v>
      </c>
      <c r="P220" s="64" t="s">
        <v>619</v>
      </c>
      <c r="Q220" s="64" t="s">
        <v>419</v>
      </c>
      <c r="R220" s="65" t="s">
        <v>396</v>
      </c>
      <c r="S220" s="66">
        <v>53402</v>
      </c>
    </row>
    <row r="221" spans="1:19" x14ac:dyDescent="0.35">
      <c r="B221" s="140" t="s">
        <v>219</v>
      </c>
      <c r="C221" s="81" t="s">
        <v>220</v>
      </c>
      <c r="D221" s="83">
        <v>50</v>
      </c>
      <c r="E221" s="85" t="s">
        <v>42</v>
      </c>
      <c r="F221" s="82"/>
      <c r="G221" s="26">
        <f>IF(D221="",0,IF(F221&gt;0,0,IF(E221="A",D221,IF(E221="M",D221*12,IF(E221="W",D221*Lookups!C$9,IF(E221="B",D221*+Lookups!C$10,IF(E221="S",D221*2,IF(AND(D221=0,F221&gt;0),F221,"ERROR"))))))))</f>
        <v>600</v>
      </c>
      <c r="H221" s="83">
        <v>50</v>
      </c>
      <c r="I221" s="85" t="s">
        <v>42</v>
      </c>
      <c r="J221" s="82"/>
      <c r="K221" s="26">
        <f>IF(H221="",0,IF(J221&gt;0,0,IF(I221="A",H221,IF(I221="M",H221*12,IF(I221="W",H221*Lookups!D$9,IF(I221="B",H221*+Lookups!D$10,IF(I221="S",H221*2,IF(AND(H221=0,J221&gt;0),J221,"ERROR"))))))))</f>
        <v>600</v>
      </c>
      <c r="L221" s="140">
        <f>IF(OR(AND(K221=0,D221=0),J221&gt;0),"",IF(AND(E221="W",I221="W"),ROUND(K221-(D221*Lookups!$C$9),0),ROUND(+K221-G221,0)))</f>
        <v>0</v>
      </c>
      <c r="M221" s="86" t="str">
        <f t="shared" si="13"/>
        <v>S</v>
      </c>
      <c r="N221" s="134"/>
      <c r="O221" s="87"/>
      <c r="P221" s="87"/>
      <c r="Q221" s="87"/>
      <c r="R221" s="88"/>
      <c r="S221" s="89"/>
    </row>
    <row r="222" spans="1:19" x14ac:dyDescent="0.35">
      <c r="B222" s="80" t="s">
        <v>219</v>
      </c>
      <c r="C222" s="81" t="s">
        <v>635</v>
      </c>
      <c r="D222" s="83"/>
      <c r="E222" s="85"/>
      <c r="F222" s="82"/>
      <c r="G222" s="26">
        <f>IF(D222="",0,IF(F222&gt;0,0,IF(E222="A",D222,IF(E222="M",D222*12,IF(E222="W",D222*Lookups!C$9,IF(E222="B",D222*+Lookups!C$10,IF(E222="S",D222*2,IF(AND(D222=0,F222&gt;0),F222,"ERROR"))))))))</f>
        <v>0</v>
      </c>
      <c r="H222" s="83">
        <v>200</v>
      </c>
      <c r="I222" s="85" t="s">
        <v>42</v>
      </c>
      <c r="J222" s="82"/>
      <c r="K222" s="26">
        <f>IF(H222="",0,IF(J222&gt;0,0,IF(I222="A",H222,IF(I222="M",H222*12,IF(I222="W",H222*Lookups!D$9,IF(I222="B",H222*+Lookups!D$10,IF(I222="S",H222*2,IF(AND(H222=0,J222&gt;0),J222,"ERROR"))))))))</f>
        <v>2400</v>
      </c>
      <c r="L222" s="140">
        <f>IF(OR(AND(K222=0,D222=0),J222&gt;0),"",IF(AND(E222="W",I222="W"),ROUND(K222-(D222*Lookups!$C$9),0),ROUND(+K222-G222,0)))</f>
        <v>2400</v>
      </c>
      <c r="M222" s="86" t="str">
        <f t="shared" si="13"/>
        <v>N</v>
      </c>
      <c r="N222" s="134"/>
      <c r="O222" s="87"/>
      <c r="P222" s="87"/>
      <c r="Q222" s="87"/>
      <c r="R222" s="88"/>
      <c r="S222" s="89"/>
    </row>
    <row r="223" spans="1:19" x14ac:dyDescent="0.35">
      <c r="A223" s="144" t="s">
        <v>638</v>
      </c>
      <c r="B223" s="90" t="s">
        <v>350</v>
      </c>
      <c r="C223" s="91" t="s">
        <v>351</v>
      </c>
      <c r="D223" s="93"/>
      <c r="E223" s="95"/>
      <c r="F223" s="92"/>
      <c r="G223" s="94">
        <f>IF(D223="",0,IF(F223&gt;0,0,IF(E223="A",D223,IF(E223="M",D223*12,IF(E223="W",D223*Lookups!C$9,IF(E223="B",D223*+Lookups!C$10,IF(E223="S",D223*2,IF(AND(D223=0,F223&gt;0),F223,"ERROR"))))))))</f>
        <v>0</v>
      </c>
      <c r="H223" s="93"/>
      <c r="I223" s="95"/>
      <c r="J223" s="92"/>
      <c r="K223" s="94">
        <f>IF(H223="",0,IF(J223&gt;0,0,IF(I223="A",H223,IF(I223="M",H223*12,IF(I223="W",H223*Lookups!D$9,IF(I223="B",H223*+Lookups!D$10,IF(I223="S",H223*2,IF(AND(H223=0,J223&gt;0),J223,"ERROR"))))))))</f>
        <v>0</v>
      </c>
      <c r="L223" s="96" t="str">
        <f>IF(OR(AND(K223=0,D223=0),J223&gt;0),"",IF(AND(E223="W",I223="W"),ROUND(K223-(D223*Lookups!$C$9),0),ROUND(+K223-G223,0)))</f>
        <v/>
      </c>
      <c r="M223" s="97" t="str">
        <f t="shared" si="13"/>
        <v/>
      </c>
      <c r="N223" s="135"/>
      <c r="O223" s="98" t="s">
        <v>503</v>
      </c>
      <c r="P223" s="98"/>
      <c r="Q223" s="98"/>
      <c r="R223" s="99"/>
      <c r="S223" s="100"/>
    </row>
    <row r="224" spans="1:19" x14ac:dyDescent="0.35">
      <c r="B224" s="24" t="s">
        <v>221</v>
      </c>
      <c r="C224" s="4" t="s">
        <v>222</v>
      </c>
      <c r="D224" s="22"/>
      <c r="E224" s="25"/>
      <c r="F224" s="13">
        <f>50*52</f>
        <v>2600</v>
      </c>
      <c r="G224" s="26">
        <f>IF(D224="",0,IF(F224&gt;0,0,IF(E224="A",D224,IF(E224="M",D224*12,IF(E224="W",D224*Lookups!C$9,IF(E224="B",D224*+Lookups!C$10,IF(E224="S",D224*2,IF(AND(D224=0,F224&gt;0),F224,"ERROR"))))))))</f>
        <v>0</v>
      </c>
      <c r="H224" s="22">
        <v>55</v>
      </c>
      <c r="I224" s="25" t="s">
        <v>41</v>
      </c>
      <c r="J224" s="13"/>
      <c r="K224" s="26">
        <f>IF(H224="",0,IF(J224&gt;0,0,IF(I224="A",H224,IF(I224="M",H224*12,IF(I224="W",H224*Lookups!D$9,IF(I224="B",H224*+Lookups!D$10,IF(I224="S",H224*2,IF(AND(H224=0,J224&gt;0),J224,"ERROR"))))))))</f>
        <v>2860</v>
      </c>
      <c r="L224" s="140">
        <f>IF(OR(AND(K224=0,D224=0),J224&gt;0),"",IF(AND(E224="W",I224="W"),ROUND(K224-(D224*Lookups!$C$9),0),ROUND(+K224-G224,0)))</f>
        <v>2860</v>
      </c>
      <c r="M224" s="86" t="str">
        <f t="shared" si="13"/>
        <v>N</v>
      </c>
      <c r="N224" s="132"/>
      <c r="O224" s="63" t="s">
        <v>492</v>
      </c>
      <c r="P224" s="64" t="s">
        <v>493</v>
      </c>
      <c r="Q224" s="64" t="s">
        <v>395</v>
      </c>
      <c r="R224" s="65" t="s">
        <v>396</v>
      </c>
      <c r="S224" s="66">
        <v>53406</v>
      </c>
    </row>
    <row r="225" spans="1:19" x14ac:dyDescent="0.35">
      <c r="A225" s="144" t="s">
        <v>638</v>
      </c>
      <c r="B225" s="27" t="s">
        <v>352</v>
      </c>
      <c r="C225" s="4" t="s">
        <v>353</v>
      </c>
      <c r="D225" s="22"/>
      <c r="E225" s="25"/>
      <c r="F225" s="13"/>
      <c r="G225" s="26">
        <f>IF(D225="",0,IF(F225&gt;0,0,IF(E225="A",D225,IF(E225="M",D225*12,IF(E225="W",D225*Lookups!C$9,IF(E225="B",D225*+Lookups!C$10,IF(E225="S",D225*2,IF(AND(D225=0,F225&gt;0),F225,"ERROR"))))))))</f>
        <v>0</v>
      </c>
      <c r="H225" s="22"/>
      <c r="I225" s="25"/>
      <c r="J225" s="13"/>
      <c r="K225" s="26">
        <f>IF(H225="",0,IF(J225&gt;0,0,IF(I225="A",H225,IF(I225="M",H225*12,IF(I225="W",H225*Lookups!D$9,IF(I225="B",H225*+Lookups!D$10,IF(I225="S",H225*2,IF(AND(H225=0,J225&gt;0),J225,"ERROR"))))))))</f>
        <v>0</v>
      </c>
      <c r="L225" s="140" t="str">
        <f>IF(OR(AND(K225=0,D225=0),J225&gt;0),"",IF(AND(E225="W",I225="W"),ROUND(K225-(D225*Lookups!$C$9),0),ROUND(+K225-G225,0)))</f>
        <v/>
      </c>
      <c r="M225" s="86" t="str">
        <f t="shared" si="13"/>
        <v/>
      </c>
      <c r="N225" s="132"/>
    </row>
    <row r="226" spans="1:19" x14ac:dyDescent="0.35">
      <c r="B226" s="27" t="s">
        <v>223</v>
      </c>
      <c r="C226" s="4" t="s">
        <v>224</v>
      </c>
      <c r="D226" s="22">
        <v>80</v>
      </c>
      <c r="E226" s="25" t="s">
        <v>41</v>
      </c>
      <c r="F226" s="13"/>
      <c r="G226" s="26">
        <f>IF(D226="",0,IF(F226&gt;0,0,IF(E226="A",D226,IF(E226="M",D226*12,IF(E226="W",D226*Lookups!C$9,IF(E226="B",D226*+Lookups!C$10,IF(E226="S",D226*2,IF(AND(D226=0,F226&gt;0),F226,"ERROR"))))))))</f>
        <v>4160</v>
      </c>
      <c r="H226" s="22">
        <v>80</v>
      </c>
      <c r="I226" s="25" t="s">
        <v>41</v>
      </c>
      <c r="J226" s="13"/>
      <c r="K226" s="26">
        <f>IF(H226="",0,IF(J226&gt;0,0,IF(I226="A",H226,IF(I226="M",H226*12,IF(I226="W",H226*Lookups!D$9,IF(I226="B",H226*+Lookups!D$10,IF(I226="S",H226*2,IF(AND(H226=0,J226&gt;0),J226,"ERROR"))))))))</f>
        <v>4160</v>
      </c>
      <c r="L226" s="140">
        <f>IF(OR(AND(K226=0,D226=0),J226&gt;0),"",IF(AND(E226="W",I226="W"),ROUND(K226-(D226*Lookups!$C$9),0),ROUND(+K226-G226,0)))</f>
        <v>0</v>
      </c>
      <c r="M226" s="86" t="str">
        <f t="shared" si="13"/>
        <v>S</v>
      </c>
      <c r="N226" s="132"/>
      <c r="P226" s="69" t="s">
        <v>494</v>
      </c>
      <c r="Q226" s="64" t="s">
        <v>419</v>
      </c>
      <c r="R226" s="65" t="s">
        <v>396</v>
      </c>
      <c r="S226" s="66">
        <v>53403</v>
      </c>
    </row>
    <row r="227" spans="1:19" x14ac:dyDescent="0.35">
      <c r="A227" s="144" t="s">
        <v>638</v>
      </c>
      <c r="B227" s="90" t="s">
        <v>223</v>
      </c>
      <c r="C227" s="91" t="s">
        <v>354</v>
      </c>
      <c r="D227" s="93"/>
      <c r="E227" s="95"/>
      <c r="F227" s="92"/>
      <c r="G227" s="94">
        <f>IF(D227="",0,IF(F227&gt;0,0,IF(E227="A",D227,IF(E227="M",D227*12,IF(E227="W",D227*Lookups!C$9,IF(E227="B",D227*+Lookups!C$10,IF(E227="S",D227*2,IF(AND(D227=0,F227&gt;0),F227,"ERROR"))))))))</f>
        <v>0</v>
      </c>
      <c r="H227" s="93"/>
      <c r="I227" s="95"/>
      <c r="J227" s="92"/>
      <c r="K227" s="94">
        <f>IF(H227="",0,IF(J227&gt;0,0,IF(I227="A",H227,IF(I227="M",H227*12,IF(I227="W",H227*Lookups!D$9,IF(I227="B",H227*+Lookups!D$10,IF(I227="S",H227*2,IF(AND(H227=0,J227&gt;0),J227,"ERROR"))))))))</f>
        <v>0</v>
      </c>
      <c r="L227" s="96" t="str">
        <f>IF(OR(AND(K227=0,D227=0),J227&gt;0),"",IF(AND(E227="W",I227="W"),ROUND(K227-(D227*Lookups!$C$9),0),ROUND(+K227-G227,0)))</f>
        <v/>
      </c>
      <c r="M227" s="97" t="str">
        <f t="shared" si="13"/>
        <v/>
      </c>
      <c r="N227" s="135"/>
      <c r="O227" s="98" t="s">
        <v>503</v>
      </c>
      <c r="P227" s="98"/>
      <c r="Q227" s="98"/>
      <c r="R227" s="99"/>
      <c r="S227" s="100"/>
    </row>
    <row r="228" spans="1:19" x14ac:dyDescent="0.35">
      <c r="B228" s="24" t="s">
        <v>225</v>
      </c>
      <c r="C228" s="4" t="s">
        <v>226</v>
      </c>
      <c r="D228" s="22">
        <v>450</v>
      </c>
      <c r="E228" s="25" t="s">
        <v>42</v>
      </c>
      <c r="F228" s="13"/>
      <c r="G228" s="26">
        <f>IF(D228="",0,IF(F228&gt;0,0,IF(E228="A",D228,IF(E228="M",D228*12,IF(E228="W",D228*Lookups!C$9,IF(E228="B",D228*+Lookups!C$10,IF(E228="S",D228*2,IF(AND(D228=0,F228&gt;0),F228,"ERROR"))))))))</f>
        <v>5400</v>
      </c>
      <c r="H228" s="22">
        <v>500</v>
      </c>
      <c r="I228" s="25" t="s">
        <v>42</v>
      </c>
      <c r="J228" s="13"/>
      <c r="K228" s="26">
        <f>IF(H228="",0,IF(J228&gt;0,0,IF(I228="A",H228,IF(I228="M",H228*12,IF(I228="W",H228*Lookups!D$9,IF(I228="B",H228*+Lookups!D$10,IF(I228="S",H228*2,IF(AND(H228=0,J228&gt;0),J228,"ERROR"))))))))</f>
        <v>6000</v>
      </c>
      <c r="L228" s="140">
        <f>IF(OR(AND(K228=0,D228=0),J228&gt;0),"",IF(AND(E228="W",I228="W"),ROUND(K228-(D228*Lookups!$C$9),0),ROUND(+K228-G228,0)))</f>
        <v>600</v>
      </c>
      <c r="M228" s="86" t="str">
        <f t="shared" si="13"/>
        <v>I</v>
      </c>
      <c r="N228" s="149"/>
      <c r="O228" s="63" t="s">
        <v>651</v>
      </c>
      <c r="P228" s="64" t="s">
        <v>652</v>
      </c>
      <c r="Q228" s="64" t="s">
        <v>419</v>
      </c>
      <c r="R228" s="65" t="s">
        <v>396</v>
      </c>
      <c r="S228" s="66">
        <v>53406</v>
      </c>
    </row>
    <row r="229" spans="1:19" x14ac:dyDescent="0.35">
      <c r="B229" s="27" t="s">
        <v>227</v>
      </c>
      <c r="C229" s="4" t="s">
        <v>228</v>
      </c>
      <c r="D229" s="22">
        <v>75</v>
      </c>
      <c r="E229" s="25" t="s">
        <v>42</v>
      </c>
      <c r="F229" s="13"/>
      <c r="G229" s="26">
        <f>IF(D229="",0,IF(F229&gt;0,0,IF(E229="A",D229,IF(E229="M",D229*12,IF(E229="W",D229*Lookups!C$9,IF(E229="B",D229*+Lookups!C$10,IF(E229="S",D229*2,IF(AND(D229=0,F229&gt;0),F229,"ERROR"))))))))</f>
        <v>900</v>
      </c>
      <c r="H229" s="22">
        <v>80</v>
      </c>
      <c r="I229" s="25" t="s">
        <v>42</v>
      </c>
      <c r="J229" s="13"/>
      <c r="K229" s="26">
        <f>IF(H229="",0,IF(J229&gt;0,0,IF(I229="A",H229,IF(I229="M",H229*12,IF(I229="W",H229*Lookups!D$9,IF(I229="B",H229*+Lookups!D$10,IF(I229="S",H229*2,IF(AND(H229=0,J229&gt;0),J229,"ERROR"))))))))</f>
        <v>960</v>
      </c>
      <c r="L229" s="140">
        <f>IF(OR(AND(K229=0,D229=0),J229&gt;0),"",IF(AND(E229="W",I229="W"),ROUND(K229-(D229*Lookups!$C$9),0),ROUND(+K229-G229,0)))</f>
        <v>60</v>
      </c>
      <c r="M229" s="86" t="str">
        <f t="shared" si="13"/>
        <v>I</v>
      </c>
      <c r="N229" s="132"/>
      <c r="O229" s="63" t="s">
        <v>495</v>
      </c>
      <c r="P229" s="64" t="s">
        <v>496</v>
      </c>
      <c r="Q229" s="64" t="s">
        <v>419</v>
      </c>
      <c r="R229" s="65" t="s">
        <v>396</v>
      </c>
      <c r="S229" s="66">
        <v>53405</v>
      </c>
    </row>
    <row r="230" spans="1:19" x14ac:dyDescent="0.35">
      <c r="B230" s="27" t="s">
        <v>355</v>
      </c>
      <c r="C230" s="4" t="s">
        <v>23</v>
      </c>
      <c r="D230" s="22"/>
      <c r="E230" s="25"/>
      <c r="F230" s="13"/>
      <c r="G230" s="26">
        <f>IF(D230="",0,IF(F230&gt;0,0,IF(E230="A",D230,IF(E230="M",D230*12,IF(E230="W",D230*Lookups!C$9,IF(E230="B",D230*+Lookups!C$10,IF(E230="S",D230*2,IF(AND(D230=0,F230&gt;0),F230,"ERROR"))))))))</f>
        <v>0</v>
      </c>
      <c r="H230" s="22"/>
      <c r="I230" s="25"/>
      <c r="J230" s="13"/>
      <c r="K230" s="26">
        <f>IF(H230="",0,IF(J230&gt;0,0,IF(I230="A",H230,IF(I230="M",H230*12,IF(I230="W",H230*Lookups!D$9,IF(I230="B",H230*+Lookups!D$10,IF(I230="S",H230*2,IF(AND(H230=0,J230&gt;0),J230,"ERROR"))))))))</f>
        <v>0</v>
      </c>
      <c r="L230" s="140" t="str">
        <f>IF(OR(AND(K230=0,D230=0),J230&gt;0),"",IF(AND(E230="W",I230="W"),ROUND(K230-(D230*Lookups!$C$9),0),ROUND(+K230-G230,0)))</f>
        <v/>
      </c>
      <c r="M230" s="86" t="str">
        <f t="shared" si="13"/>
        <v/>
      </c>
      <c r="N230" s="132"/>
    </row>
    <row r="231" spans="1:19" x14ac:dyDescent="0.35">
      <c r="B231" s="24" t="s">
        <v>229</v>
      </c>
      <c r="C231" s="4" t="s">
        <v>230</v>
      </c>
      <c r="D231" s="22"/>
      <c r="E231" s="25"/>
      <c r="F231" s="13">
        <f>160*52</f>
        <v>8320</v>
      </c>
      <c r="G231" s="26">
        <f>IF(D231="",0,IF(F231&gt;0,0,IF(E231="A",D231,IF(E231="M",D231*12,IF(E231="W",D231*Lookups!C$9,IF(E231="B",D231*+Lookups!C$10,IF(E231="S",D231*2,IF(AND(D231=0,F231&gt;0),F231,"ERROR"))))))))</f>
        <v>0</v>
      </c>
      <c r="H231" s="22">
        <v>160</v>
      </c>
      <c r="I231" s="25" t="s">
        <v>41</v>
      </c>
      <c r="J231" s="13"/>
      <c r="K231" s="26">
        <f>IF(H231="",0,IF(J231&gt;0,0,IF(I231="A",H231,IF(I231="M",H231*12,IF(I231="W",H231*Lookups!D$9,IF(I231="B",H231*+Lookups!D$10,IF(I231="S",H231*2,IF(AND(H231=0,J231&gt;0),J231,"ERROR"))))))))</f>
        <v>8320</v>
      </c>
      <c r="L231" s="140">
        <f>IF(OR(AND(K231=0,D231=0),J231&gt;0),"",IF(AND(E231="W",I231="W"),ROUND(K231-(D231*Lookups!$C$9),0),ROUND(+K231-G231,0)))</f>
        <v>8320</v>
      </c>
      <c r="M231" s="86" t="str">
        <f t="shared" si="13"/>
        <v>N</v>
      </c>
      <c r="N231" s="132"/>
      <c r="P231" s="69"/>
    </row>
    <row r="232" spans="1:19" x14ac:dyDescent="0.35">
      <c r="A232" s="144" t="s">
        <v>638</v>
      </c>
      <c r="B232" s="27" t="s">
        <v>356</v>
      </c>
      <c r="C232" s="4" t="s">
        <v>26</v>
      </c>
      <c r="D232" s="22"/>
      <c r="E232" s="25"/>
      <c r="F232" s="13"/>
      <c r="G232" s="26">
        <f>IF(D232="",0,IF(F232&gt;0,0,IF(E232="A",D232,IF(E232="M",D232*12,IF(E232="W",D232*Lookups!C$9,IF(E232="B",D232*+Lookups!C$10,IF(E232="S",D232*2,IF(AND(D232=0,F232&gt;0),F232,"ERROR"))))))))</f>
        <v>0</v>
      </c>
      <c r="H232" s="22"/>
      <c r="I232" s="25"/>
      <c r="J232" s="13"/>
      <c r="K232" s="26">
        <f>IF(H232="",0,IF(J232&gt;0,0,IF(I232="A",H232,IF(I232="M",H232*12,IF(I232="W",H232*Lookups!D$9,IF(I232="B",H232*+Lookups!D$10,IF(I232="S",H232*2,IF(AND(H232=0,J232&gt;0),J232,"ERROR"))))))))</f>
        <v>0</v>
      </c>
      <c r="L232" s="140" t="str">
        <f>IF(OR(AND(K232=0,D232=0),J232&gt;0),"",IF(AND(E232="W",I232="W"),ROUND(K232-(D232*Lookups!$C$9),0),ROUND(+K232-G232,0)))</f>
        <v/>
      </c>
      <c r="M232" s="86" t="str">
        <f t="shared" si="13"/>
        <v/>
      </c>
      <c r="N232" s="132"/>
    </row>
    <row r="233" spans="1:19" x14ac:dyDescent="0.35">
      <c r="B233" s="27" t="s">
        <v>357</v>
      </c>
      <c r="C233" s="4" t="s">
        <v>358</v>
      </c>
      <c r="D233" s="22">
        <v>2100</v>
      </c>
      <c r="E233" s="25" t="s">
        <v>38</v>
      </c>
      <c r="F233" s="13"/>
      <c r="G233" s="26">
        <f>IF(D233="",0,IF(F233&gt;0,0,IF(E233="A",D233,IF(E233="M",D233*12,IF(E233="W",D233*Lookups!C$9,IF(E233="B",D233*+Lookups!C$10,IF(E233="S",D233*2,IF(AND(D233=0,F233&gt;0),F233,"ERROR"))))))))</f>
        <v>2100</v>
      </c>
      <c r="H233" s="22">
        <v>2200</v>
      </c>
      <c r="I233" s="25" t="s">
        <v>38</v>
      </c>
      <c r="J233" s="13"/>
      <c r="K233" s="26">
        <f>IF(H233="",0,IF(J233&gt;0,0,IF(I233="A",H233,IF(I233="M",H233*12,IF(I233="W",H233*Lookups!D$9,IF(I233="B",H233*+Lookups!D$10,IF(I233="S",H233*2,IF(AND(H233=0,J233&gt;0),J233,"ERROR"))))))))</f>
        <v>2200</v>
      </c>
      <c r="L233" s="140">
        <f>IF(OR(AND(K233=0,D233=0),J233&gt;0),"",IF(AND(E233="W",I233="W"),ROUND(K233-(D233*Lookups!$C$9),0),ROUND(+K233-G233,0)))</f>
        <v>100</v>
      </c>
      <c r="M233" s="86" t="str">
        <f t="shared" si="13"/>
        <v>I</v>
      </c>
      <c r="N233" s="132"/>
      <c r="O233" s="63" t="s">
        <v>497</v>
      </c>
    </row>
    <row r="234" spans="1:19" x14ac:dyDescent="0.35">
      <c r="A234" s="144" t="s">
        <v>638</v>
      </c>
      <c r="B234" s="90" t="s">
        <v>231</v>
      </c>
      <c r="C234" s="91" t="s">
        <v>232</v>
      </c>
      <c r="D234" s="93"/>
      <c r="E234" s="95"/>
      <c r="F234" s="92"/>
      <c r="G234" s="94">
        <f>IF(D234="",0,IF(F234&gt;0,0,IF(E234="A",D234,IF(E234="M",D234*12,IF(E234="W",D234*Lookups!C$9,IF(E234="B",D234*+Lookups!C$10,IF(E234="S",D234*2,IF(AND(D234=0,F234&gt;0),F234,"ERROR"))))))))</f>
        <v>0</v>
      </c>
      <c r="H234" s="93"/>
      <c r="I234" s="95"/>
      <c r="J234" s="92"/>
      <c r="K234" s="94">
        <f>IF(H234="",0,IF(J234&gt;0,0,IF(I234="A",H234,IF(I234="M",H234*12,IF(I234="W",H234*Lookups!D$9,IF(I234="B",H234*+Lookups!D$10,IF(I234="S",H234*2,IF(AND(H234=0,J234&gt;0),J234,"ERROR"))))))))</f>
        <v>0</v>
      </c>
      <c r="L234" s="96" t="str">
        <f>IF(OR(AND(K234=0,D234=0),J234&gt;0),"",IF(AND(E234="W",I234="W"),ROUND(K234-(D234*Lookups!$C$9),0),ROUND(+K234-G234,0)))</f>
        <v/>
      </c>
      <c r="M234" s="97" t="str">
        <f t="shared" si="13"/>
        <v/>
      </c>
      <c r="N234" s="135"/>
      <c r="O234" s="98" t="s">
        <v>510</v>
      </c>
      <c r="P234" s="98"/>
      <c r="Q234" s="98"/>
      <c r="R234" s="99"/>
      <c r="S234" s="100"/>
    </row>
    <row r="235" spans="1:19" x14ac:dyDescent="0.35">
      <c r="B235" s="27"/>
      <c r="C235" s="4"/>
      <c r="D235" s="22"/>
      <c r="E235" s="25"/>
      <c r="F235" s="25"/>
      <c r="G235" s="26">
        <f>IF(D235="",0,IF(F235&gt;0,0,IF(E235="A",D235,IF(E235="M",D235*12,IF(E235="W",D235*Lookups!C$9,IF(E235="B",D235*+Lookups!C$10,IF(E235="S",D235*2,IF(AND(D235=0,F235&gt;0),F235,"ERROR"))))))))</f>
        <v>0</v>
      </c>
      <c r="H235" s="22"/>
      <c r="I235" s="25"/>
      <c r="J235" s="25"/>
      <c r="K235" s="26">
        <f>IF(H235="",0,IF(J235&gt;0,0,IF(I235="A",H235,IF(I235="M",H235*12,IF(I235="W",H235*Lookups!D$9,IF(I235="B",H235*+Lookups!D$10,IF(I235="S",H235*2,IF(AND(H235=0,J235&gt;0),J235,"ERROR"))))))))</f>
        <v>0</v>
      </c>
      <c r="L235" s="140" t="str">
        <f>IF(OR(AND(K235=0,D235=0),J235&gt;0),"",IF(AND(E235="W",I235="W"),ROUND(K235-(D235*Lookups!$C$9),0),ROUND(+K235-G235,0)))</f>
        <v/>
      </c>
      <c r="M235" s="86" t="str">
        <f t="shared" si="13"/>
        <v/>
      </c>
      <c r="N235" s="132"/>
    </row>
    <row r="236" spans="1:19" ht="15" thickBot="1" x14ac:dyDescent="0.4">
      <c r="B236" s="23" t="s">
        <v>39</v>
      </c>
      <c r="C236" s="11"/>
      <c r="D236" s="23">
        <f>SUM(D4:D235)</f>
        <v>137695</v>
      </c>
      <c r="E236" s="10"/>
      <c r="F236" s="10">
        <f>SUM(F4:F235)</f>
        <v>65790</v>
      </c>
      <c r="G236" s="11">
        <f>SUM(G4:G235)</f>
        <v>322580</v>
      </c>
      <c r="H236" s="23">
        <f>SUM(H4:H235)</f>
        <v>183212.5</v>
      </c>
      <c r="I236" s="10"/>
      <c r="J236" s="10">
        <f>SUM(J4:J235)</f>
        <v>0</v>
      </c>
      <c r="K236" s="11">
        <f>SUM(K4:K235)</f>
        <v>400626</v>
      </c>
      <c r="L236" s="23">
        <f>SUM(L4:L235)</f>
        <v>78046</v>
      </c>
      <c r="M236" s="11"/>
      <c r="N236" s="104"/>
      <c r="O236" s="146"/>
      <c r="P236" s="146"/>
      <c r="Q236" s="146"/>
      <c r="R236" s="147"/>
      <c r="S236" s="148"/>
    </row>
    <row r="237" spans="1:19" x14ac:dyDescent="0.35">
      <c r="B237" s="1" t="s">
        <v>43</v>
      </c>
      <c r="G237" s="64">
        <v>322580</v>
      </c>
      <c r="K237" s="1">
        <f>396766+960-K236</f>
        <v>-2900</v>
      </c>
      <c r="L237" s="141" t="s">
        <v>636</v>
      </c>
    </row>
    <row r="238" spans="1:19" x14ac:dyDescent="0.35">
      <c r="B238" s="1" t="e">
        <f>"**  S=Same, D= Decrease, I=Increase, N=New, E=Esimate (Pledged in "&amp;#REF!&amp;" but not in "&amp;D2&amp;"), X=Esimate does not pledge but gave in "&amp;#REF!</f>
        <v>#REF!</v>
      </c>
    </row>
    <row r="239" spans="1:19" x14ac:dyDescent="0.35">
      <c r="K239" s="1">
        <f>396766+960</f>
        <v>397726</v>
      </c>
    </row>
  </sheetData>
  <autoFilter ref="A2:S238">
    <filterColumn colId="1" showButton="0"/>
    <filterColumn colId="3" showButton="0"/>
    <filterColumn colId="4" showButton="0"/>
    <filterColumn colId="5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6">
    <mergeCell ref="N2:S2"/>
    <mergeCell ref="B1:M1"/>
    <mergeCell ref="B2:C2"/>
    <mergeCell ref="L2:M2"/>
    <mergeCell ref="D2:G2"/>
    <mergeCell ref="H2:K2"/>
  </mergeCells>
  <hyperlinks>
    <hyperlink ref="O150" r:id="rId1"/>
    <hyperlink ref="O11" r:id="rId2"/>
    <hyperlink ref="O9" r:id="rId3"/>
    <hyperlink ref="O13" r:id="rId4"/>
    <hyperlink ref="O15" r:id="rId5"/>
    <hyperlink ref="O17" r:id="rId6"/>
    <hyperlink ref="O18" r:id="rId7"/>
    <hyperlink ref="O21" r:id="rId8"/>
    <hyperlink ref="O25" r:id="rId9"/>
    <hyperlink ref="O30" r:id="rId10"/>
    <hyperlink ref="O32" r:id="rId11"/>
    <hyperlink ref="O37" r:id="rId12"/>
    <hyperlink ref="O46" r:id="rId13"/>
    <hyperlink ref="O55" r:id="rId14"/>
    <hyperlink ref="O60" r:id="rId15"/>
    <hyperlink ref="O61" r:id="rId16"/>
    <hyperlink ref="O69" r:id="rId17"/>
    <hyperlink ref="O71" r:id="rId18" display="sandra.georgeson@yahoo.com"/>
    <hyperlink ref="O72" r:id="rId19"/>
    <hyperlink ref="O82" r:id="rId20"/>
    <hyperlink ref="O87" r:id="rId21"/>
    <hyperlink ref="O91" r:id="rId22"/>
    <hyperlink ref="O94" r:id="rId23" display="dubar@att.net"/>
    <hyperlink ref="O97" r:id="rId24"/>
    <hyperlink ref="O108" r:id="rId25" display="jkiemen1942@gmail.com"/>
    <hyperlink ref="O125" r:id="rId26"/>
    <hyperlink ref="O137" r:id="rId27"/>
    <hyperlink ref="O138" r:id="rId28"/>
    <hyperlink ref="O140" r:id="rId29"/>
    <hyperlink ref="O142" r:id="rId30"/>
    <hyperlink ref="O145" r:id="rId31"/>
    <hyperlink ref="O153" r:id="rId32"/>
    <hyperlink ref="O154" r:id="rId33"/>
    <hyperlink ref="O158" r:id="rId34"/>
    <hyperlink ref="O179" r:id="rId35"/>
    <hyperlink ref="O190" r:id="rId36"/>
    <hyperlink ref="O199" r:id="rId37"/>
    <hyperlink ref="O208" r:id="rId38"/>
    <hyperlink ref="O224" r:id="rId39"/>
    <hyperlink ref="O229" r:id="rId40"/>
    <hyperlink ref="O233" r:id="rId41"/>
    <hyperlink ref="O28" r:id="rId42"/>
    <hyperlink ref="O34" r:id="rId43"/>
    <hyperlink ref="O38" r:id="rId44"/>
    <hyperlink ref="O39" r:id="rId45"/>
    <hyperlink ref="O49" r:id="rId46"/>
    <hyperlink ref="O68" r:id="rId47"/>
    <hyperlink ref="O73" r:id="rId48"/>
    <hyperlink ref="O96" r:id="rId49"/>
    <hyperlink ref="O105" r:id="rId50"/>
    <hyperlink ref="O114" r:id="rId51"/>
    <hyperlink ref="O118" r:id="rId52"/>
    <hyperlink ref="O122" r:id="rId53"/>
    <hyperlink ref="O132" r:id="rId54"/>
    <hyperlink ref="O133" r:id="rId55"/>
    <hyperlink ref="O152" r:id="rId56"/>
    <hyperlink ref="O160" r:id="rId57"/>
    <hyperlink ref="O161" r:id="rId58"/>
    <hyperlink ref="O163" r:id="rId59"/>
    <hyperlink ref="O167" r:id="rId60"/>
    <hyperlink ref="O173" r:id="rId61"/>
    <hyperlink ref="O185" r:id="rId62"/>
    <hyperlink ref="O186" r:id="rId63"/>
    <hyperlink ref="O201" r:id="rId64"/>
    <hyperlink ref="O210" r:id="rId65"/>
    <hyperlink ref="O217" r:id="rId66"/>
    <hyperlink ref="O219" r:id="rId67"/>
    <hyperlink ref="O220" r:id="rId68"/>
    <hyperlink ref="O70" r:id="rId69"/>
    <hyperlink ref="O19" r:id="rId70"/>
    <hyperlink ref="O107" r:id="rId71"/>
    <hyperlink ref="O177" r:id="rId72"/>
    <hyperlink ref="O228" r:id="rId73"/>
    <hyperlink ref="O166" r:id="rId74"/>
    <hyperlink ref="O212" r:id="rId75"/>
    <hyperlink ref="O215" r:id="rId76"/>
    <hyperlink ref="O92" r:id="rId77"/>
    <hyperlink ref="O143" r:id="rId78"/>
  </hyperlinks>
  <pageMargins left="0.7" right="0.7" top="0.75" bottom="0.75" header="0.3" footer="0.3"/>
  <pageSetup scale="30" fitToHeight="0" orientation="portrait" horizontalDpi="0" verticalDpi="0"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tabSelected="1" topLeftCell="A15" workbookViewId="0">
      <selection activeCell="D20" sqref="D20"/>
    </sheetView>
  </sheetViews>
  <sheetFormatPr defaultRowHeight="14.5" x14ac:dyDescent="0.35"/>
  <cols>
    <col min="1" max="1" width="25.453125" customWidth="1"/>
    <col min="4" max="4" width="9.6328125" customWidth="1"/>
    <col min="6" max="6" width="9.7265625" customWidth="1"/>
    <col min="7" max="7" width="8.1796875" customWidth="1"/>
    <col min="8" max="8" width="10" customWidth="1"/>
    <col min="10" max="10" width="14.453125" customWidth="1"/>
  </cols>
  <sheetData>
    <row r="1" spans="1:10" ht="19" hidden="1" thickBot="1" x14ac:dyDescent="0.5">
      <c r="A1" s="152" t="s">
        <v>380</v>
      </c>
      <c r="B1" s="153"/>
      <c r="C1" s="153"/>
      <c r="D1" s="153"/>
      <c r="E1" s="17"/>
    </row>
    <row r="2" spans="1:10" ht="29.5" hidden="1" thickBot="1" x14ac:dyDescent="0.4">
      <c r="A2" s="2"/>
      <c r="B2" s="8" t="s">
        <v>53</v>
      </c>
      <c r="C2" s="8"/>
      <c r="D2" s="37" t="s">
        <v>52</v>
      </c>
      <c r="E2" s="38" t="s">
        <v>51</v>
      </c>
    </row>
    <row r="3" spans="1:10" ht="15" hidden="1" thickBot="1" x14ac:dyDescent="0.4">
      <c r="A3" s="14" t="s">
        <v>3</v>
      </c>
      <c r="B3" s="104"/>
      <c r="C3" s="104"/>
      <c r="D3" s="103"/>
      <c r="E3" s="105"/>
    </row>
    <row r="4" spans="1:10" ht="15" hidden="1" thickBot="1" x14ac:dyDescent="0.4">
      <c r="A4" s="14" t="s">
        <v>525</v>
      </c>
      <c r="B4" s="104"/>
      <c r="C4" s="104"/>
      <c r="D4" s="103" t="e">
        <f>+#REF!-#REF!</f>
        <v>#REF!</v>
      </c>
      <c r="E4" s="117" t="e">
        <f>+D4/#REF!</f>
        <v>#REF!</v>
      </c>
    </row>
    <row r="5" spans="1:10" ht="15" hidden="1" thickBot="1" x14ac:dyDescent="0.4">
      <c r="A5" s="5" t="s">
        <v>47</v>
      </c>
      <c r="B5" s="7"/>
      <c r="C5" s="7"/>
      <c r="D5" s="30"/>
      <c r="E5" s="6"/>
    </row>
    <row r="6" spans="1:10" ht="15" hidden="1" thickBot="1" x14ac:dyDescent="0.4">
      <c r="A6" s="2" t="s">
        <v>46</v>
      </c>
      <c r="B6" s="15" t="e">
        <f>+#REF!/#REF!</f>
        <v>#REF!</v>
      </c>
      <c r="C6" s="15"/>
      <c r="D6" s="31"/>
      <c r="E6" s="6"/>
    </row>
    <row r="7" spans="1:10" ht="15" hidden="1" thickBot="1" x14ac:dyDescent="0.4">
      <c r="A7" s="2" t="s">
        <v>50</v>
      </c>
      <c r="B7" s="15" t="e">
        <f>+#REF!/#REF!</f>
        <v>#REF!</v>
      </c>
      <c r="C7" s="15"/>
      <c r="D7" s="31"/>
      <c r="E7" s="6"/>
    </row>
    <row r="8" spans="1:10" ht="15" hidden="1" thickBot="1" x14ac:dyDescent="0.4">
      <c r="A8" s="14" t="s">
        <v>526</v>
      </c>
      <c r="B8" s="16" t="e">
        <f>+#REF!/#REF!</f>
        <v>#REF!</v>
      </c>
      <c r="C8" s="16"/>
      <c r="D8" s="34" t="e">
        <f>+#REF!-#REF!</f>
        <v>#REF!</v>
      </c>
      <c r="E8" s="118" t="e">
        <f>+D8/#REF!</f>
        <v>#REF!</v>
      </c>
    </row>
    <row r="9" spans="1:10" ht="15" hidden="1" thickBot="1" x14ac:dyDescent="0.4">
      <c r="A9" s="2" t="s">
        <v>48</v>
      </c>
      <c r="B9" s="7"/>
      <c r="C9" s="7"/>
      <c r="D9" s="31" t="e">
        <f>+#REF!-#REF!</f>
        <v>#REF!</v>
      </c>
      <c r="E9" s="43" t="e">
        <f>ROUND((+#REF!/#REF!),3)</f>
        <v>#REF!</v>
      </c>
    </row>
    <row r="10" spans="1:10" ht="15" hidden="1" thickBot="1" x14ac:dyDescent="0.4">
      <c r="A10" s="5" t="s">
        <v>527</v>
      </c>
      <c r="B10" s="3"/>
      <c r="C10" s="3"/>
      <c r="D10" s="31"/>
      <c r="E10" s="6"/>
    </row>
    <row r="11" spans="1:10" ht="15" hidden="1" thickBot="1" x14ac:dyDescent="0.4">
      <c r="A11" s="2" t="s">
        <v>46</v>
      </c>
      <c r="B11" s="15" t="e">
        <f>+#REF!/#REF!</f>
        <v>#REF!</v>
      </c>
      <c r="C11" s="15"/>
      <c r="D11" s="31"/>
      <c r="E11" s="6"/>
      <c r="F11" s="70"/>
      <c r="G11" s="70"/>
      <c r="H11" s="70"/>
    </row>
    <row r="12" spans="1:10" ht="15" hidden="1" thickBot="1" x14ac:dyDescent="0.4">
      <c r="A12" s="2" t="s">
        <v>508</v>
      </c>
      <c r="B12" s="15" t="e">
        <f>+#REF!/#REF!</f>
        <v>#REF!</v>
      </c>
      <c r="C12" s="15"/>
      <c r="D12" s="31"/>
      <c r="E12" s="6"/>
    </row>
    <row r="13" spans="1:10" ht="15" hidden="1" thickBot="1" x14ac:dyDescent="0.4">
      <c r="A13" s="9" t="s">
        <v>49</v>
      </c>
      <c r="B13" s="20" t="e">
        <f>+#REF!/#REF!</f>
        <v>#REF!</v>
      </c>
      <c r="C13" s="20"/>
      <c r="D13" s="33" t="e">
        <f>+#REF!-#REF!</f>
        <v>#REF!</v>
      </c>
      <c r="E13" s="21" t="e">
        <f>+D13/#REF!</f>
        <v>#REF!</v>
      </c>
    </row>
    <row r="14" spans="1:10" ht="15" hidden="1" thickBot="1" x14ac:dyDescent="0.4"/>
    <row r="15" spans="1:10" ht="18.5" x14ac:dyDescent="0.45">
      <c r="A15" s="177" t="s">
        <v>658</v>
      </c>
      <c r="B15" s="178"/>
      <c r="C15" s="178"/>
      <c r="D15" s="178"/>
      <c r="E15" s="178"/>
      <c r="F15" s="178"/>
      <c r="G15" s="178"/>
      <c r="H15" s="178"/>
      <c r="I15" s="178"/>
      <c r="J15" s="179"/>
    </row>
    <row r="16" spans="1:10" x14ac:dyDescent="0.35">
      <c r="A16" s="180"/>
      <c r="B16" s="12">
        <v>2024</v>
      </c>
      <c r="C16" s="12">
        <v>2025</v>
      </c>
      <c r="D16" s="12">
        <f>+C16</f>
        <v>2025</v>
      </c>
      <c r="E16" s="37" t="s">
        <v>513</v>
      </c>
      <c r="F16" s="176"/>
      <c r="G16" s="176"/>
      <c r="H16" s="176"/>
      <c r="I16" s="176"/>
      <c r="J16" s="181"/>
    </row>
    <row r="17" spans="1:10" x14ac:dyDescent="0.35">
      <c r="A17" s="180" t="s">
        <v>57</v>
      </c>
      <c r="B17" s="55">
        <v>39</v>
      </c>
      <c r="C17" s="18">
        <f>COUNTIF(Data!M$4:M235,"S")</f>
        <v>44</v>
      </c>
      <c r="D17" s="57">
        <f>SUMIF(Data!M$4:M$235,"S",Data!K$4:K$235)</f>
        <v>103328</v>
      </c>
      <c r="E17" s="101">
        <f>+D17/D$22</f>
        <v>0.25791636089519904</v>
      </c>
      <c r="F17" s="176" t="s">
        <v>693</v>
      </c>
      <c r="G17" s="176"/>
      <c r="H17" s="176"/>
      <c r="I17" s="176"/>
      <c r="J17" s="181"/>
    </row>
    <row r="18" spans="1:10" x14ac:dyDescent="0.35">
      <c r="A18" s="180" t="s">
        <v>58</v>
      </c>
      <c r="B18" s="55">
        <v>28</v>
      </c>
      <c r="C18" s="18">
        <f>COUNTIF(Data!M$4:M235,"I")</f>
        <v>38</v>
      </c>
      <c r="D18" s="57">
        <f>SUMIF(Data!M$4:M$235,"I",Data!K$4:K$235)</f>
        <v>228514</v>
      </c>
      <c r="E18" s="101">
        <f>+D18/D$22</f>
        <v>0.57039233599416916</v>
      </c>
      <c r="F18" s="176" t="str">
        <f>+"Increased pledge from 2024 (increase = $"&amp;ROUND(SUMIF(Data!M$4:M$235,"I",Data!L$4:L$235),0)&amp;")"</f>
        <v>Increased pledge from 2024 (increase = $44462)</v>
      </c>
      <c r="G18" s="176"/>
      <c r="H18" s="176"/>
      <c r="I18" s="176"/>
      <c r="J18" s="181"/>
    </row>
    <row r="19" spans="1:10" x14ac:dyDescent="0.35">
      <c r="A19" s="180" t="s">
        <v>59</v>
      </c>
      <c r="B19" s="55">
        <v>23</v>
      </c>
      <c r="C19" s="18">
        <f>COUNTIF(Data!M$4:M235,"N")</f>
        <v>30</v>
      </c>
      <c r="D19" s="57">
        <f>SUMIF(Data!M$4:M$235,"N",Data!K$4:$K235)</f>
        <v>61384</v>
      </c>
      <c r="E19" s="101">
        <f>+D19/D$22</f>
        <v>0.15322021037076974</v>
      </c>
      <c r="F19" s="176" t="s">
        <v>694</v>
      </c>
      <c r="G19" s="176"/>
      <c r="H19" s="176"/>
      <c r="I19" s="176"/>
      <c r="J19" s="181"/>
    </row>
    <row r="20" spans="1:10" x14ac:dyDescent="0.35">
      <c r="A20" s="180" t="s">
        <v>60</v>
      </c>
      <c r="B20" s="55">
        <v>11</v>
      </c>
      <c r="C20" s="18">
        <f>COUNTIF(Data!M$4:M235,"D")</f>
        <v>14</v>
      </c>
      <c r="D20" s="57">
        <f>SUMIF(Data!M$4:M$235,"D",Data!K$4:K$235)</f>
        <v>7400</v>
      </c>
      <c r="E20" s="101">
        <f>+D20/D$22</f>
        <v>1.8471092739862117E-2</v>
      </c>
      <c r="F20" s="176" t="str">
        <f>+"Decreased pledge from 2024 (decrease = $"&amp;ABS(ROUND(SUMIF(Data!M$4:M235,"D",Data!L$4:L235),0))&amp;")"</f>
        <v>Decreased pledge from 2024 (decrease = $27800)</v>
      </c>
      <c r="G20" s="176"/>
      <c r="H20" s="176"/>
      <c r="I20" s="176"/>
      <c r="J20" s="181"/>
    </row>
    <row r="21" spans="1:10" x14ac:dyDescent="0.35">
      <c r="A21" s="180" t="s">
        <v>509</v>
      </c>
      <c r="B21" s="25">
        <v>45</v>
      </c>
      <c r="C21" s="56">
        <f>COUNTIF(Data!M$4:M235,"X")+COUNTIF(Data!M$4:M235,"E")</f>
        <v>0</v>
      </c>
      <c r="D21" s="57">
        <f>+SUMIF(Data!M$4:M$235,"E",Data!J$4:J$235)</f>
        <v>0</v>
      </c>
      <c r="E21" s="101">
        <f>+D21/D$22</f>
        <v>0</v>
      </c>
      <c r="F21" s="176" t="s">
        <v>695</v>
      </c>
      <c r="G21" s="176"/>
      <c r="H21" s="176"/>
      <c r="I21" s="176"/>
      <c r="J21" s="181"/>
    </row>
    <row r="22" spans="1:10" x14ac:dyDescent="0.35">
      <c r="A22" s="182" t="s">
        <v>56</v>
      </c>
      <c r="B22" s="183">
        <f>SUM(B17:B21)</f>
        <v>146</v>
      </c>
      <c r="C22" s="183">
        <f>SUM(C17:C21)</f>
        <v>126</v>
      </c>
      <c r="D22" s="184">
        <f>SUM(D17:D21)</f>
        <v>400626</v>
      </c>
      <c r="E22" s="185">
        <f>SUM(E17:E21)</f>
        <v>1</v>
      </c>
      <c r="F22" s="186"/>
      <c r="G22" s="186"/>
      <c r="H22" s="186"/>
      <c r="I22" s="186"/>
      <c r="J22" s="187"/>
    </row>
    <row r="23" spans="1:10" x14ac:dyDescent="0.35">
      <c r="B23" t="str">
        <f>IF(ROWS(Data!M4:M235)-COUNTBLANK(Data!M4:M235)-Summary!C22=0,"","ERROR")</f>
        <v/>
      </c>
      <c r="D23" s="1" t="str">
        <f>IF(+Data!K236+Data!J236-Summary!D22=0,"","ERROR")</f>
        <v/>
      </c>
    </row>
    <row r="24" spans="1:10" ht="19" hidden="1" thickBot="1" x14ac:dyDescent="0.5">
      <c r="A24" s="164" t="s">
        <v>696</v>
      </c>
      <c r="B24" s="165"/>
      <c r="C24" s="165"/>
      <c r="D24" s="165"/>
      <c r="E24" s="166"/>
      <c r="F24" s="1"/>
      <c r="G24" s="1"/>
      <c r="I24" s="171"/>
    </row>
    <row r="25" spans="1:10" ht="43.5" hidden="1" x14ac:dyDescent="0.35">
      <c r="A25" s="2"/>
      <c r="B25" s="8" t="s">
        <v>45</v>
      </c>
      <c r="C25" s="12" t="s">
        <v>5</v>
      </c>
      <c r="D25" s="8" t="s">
        <v>53</v>
      </c>
      <c r="E25" s="18" t="s">
        <v>52</v>
      </c>
      <c r="F25" s="19" t="s">
        <v>51</v>
      </c>
      <c r="G25" s="1"/>
    </row>
    <row r="26" spans="1:10" hidden="1" x14ac:dyDescent="0.35">
      <c r="A26" s="151" t="str">
        <f>+A8</f>
        <v>Total 2023 Budget</v>
      </c>
      <c r="B26" s="60"/>
      <c r="C26" s="47" t="e">
        <f>+#REF!</f>
        <v>#REF!</v>
      </c>
      <c r="D26" s="48"/>
      <c r="E26" s="49"/>
      <c r="F26" s="50"/>
    </row>
    <row r="27" spans="1:10" hidden="1" x14ac:dyDescent="0.35">
      <c r="A27" s="42" t="s">
        <v>386</v>
      </c>
      <c r="B27" s="61"/>
      <c r="C27" s="44" t="e">
        <f>+C26-C29-C30-C31</f>
        <v>#REF!</v>
      </c>
      <c r="D27" s="39"/>
      <c r="E27" s="40"/>
      <c r="F27" s="41"/>
    </row>
    <row r="28" spans="1:10" hidden="1" x14ac:dyDescent="0.35">
      <c r="A28" s="51" t="s">
        <v>385</v>
      </c>
      <c r="B28" s="62" t="e">
        <f>+#REF!</f>
        <v>#REF!</v>
      </c>
      <c r="C28" s="52" t="e">
        <f>+#REF!</f>
        <v>#REF!</v>
      </c>
      <c r="D28" s="53"/>
      <c r="E28" s="52" t="e">
        <f>+C28-C27</f>
        <v>#REF!</v>
      </c>
      <c r="F28" s="54" t="e">
        <f>+E28/C27</f>
        <v>#REF!</v>
      </c>
    </row>
    <row r="29" spans="1:10" hidden="1" x14ac:dyDescent="0.35">
      <c r="A29" s="2" t="s">
        <v>381</v>
      </c>
      <c r="B29" s="18"/>
      <c r="C29" s="32">
        <v>31606</v>
      </c>
      <c r="D29" s="3"/>
      <c r="E29" s="3"/>
      <c r="F29" s="6"/>
    </row>
    <row r="30" spans="1:10" hidden="1" x14ac:dyDescent="0.35">
      <c r="A30" s="2" t="s">
        <v>382</v>
      </c>
      <c r="B30" s="18"/>
      <c r="C30" s="32">
        <v>37724</v>
      </c>
      <c r="D30" s="3"/>
      <c r="E30" s="3"/>
      <c r="F30" s="6"/>
    </row>
    <row r="31" spans="1:10" hidden="1" x14ac:dyDescent="0.35">
      <c r="A31" s="2" t="s">
        <v>383</v>
      </c>
      <c r="B31" s="18"/>
      <c r="C31" s="32">
        <v>35250</v>
      </c>
      <c r="D31" s="3"/>
      <c r="E31" s="3"/>
      <c r="F31" s="6"/>
    </row>
    <row r="32" spans="1:10" ht="15" hidden="1" thickBot="1" x14ac:dyDescent="0.4">
      <c r="A32" s="9" t="s">
        <v>657</v>
      </c>
      <c r="B32" s="58"/>
      <c r="C32" s="35" t="e">
        <f>+SUM(C28:C31)</f>
        <v>#REF!</v>
      </c>
      <c r="D32" s="28"/>
      <c r="E32" s="35" t="e">
        <f>+C32-C26</f>
        <v>#REF!</v>
      </c>
      <c r="F32" s="46" t="e">
        <f>+E32/C26</f>
        <v>#REF!</v>
      </c>
    </row>
    <row r="33" hidden="1" x14ac:dyDescent="0.35"/>
  </sheetData>
  <mergeCells count="10">
    <mergeCell ref="A1:D1"/>
    <mergeCell ref="A24:E24"/>
    <mergeCell ref="A15:J15"/>
    <mergeCell ref="F17:J17"/>
    <mergeCell ref="F18:J18"/>
    <mergeCell ref="F19:J19"/>
    <mergeCell ref="F20:J20"/>
    <mergeCell ref="F21:J21"/>
    <mergeCell ref="F16:J16"/>
    <mergeCell ref="F22:J22"/>
  </mergeCells>
  <pageMargins left="0.2" right="0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8" sqref="B8:B10"/>
    </sheetView>
  </sheetViews>
  <sheetFormatPr defaultRowHeight="14.5" x14ac:dyDescent="0.35"/>
  <cols>
    <col min="1" max="2" width="10.81640625" customWidth="1"/>
  </cols>
  <sheetData>
    <row r="2" spans="1:4" x14ac:dyDescent="0.35">
      <c r="A2" t="s">
        <v>384</v>
      </c>
      <c r="C2" s="45">
        <v>9</v>
      </c>
    </row>
    <row r="3" spans="1:4" x14ac:dyDescent="0.35">
      <c r="A3" s="36" t="s">
        <v>44</v>
      </c>
      <c r="B3" s="36"/>
      <c r="C3">
        <f>+C2/12</f>
        <v>0.75</v>
      </c>
    </row>
    <row r="4" spans="1:4" x14ac:dyDescent="0.35">
      <c r="A4" s="36" t="s">
        <v>42</v>
      </c>
      <c r="B4" s="36"/>
      <c r="C4">
        <f>+C2/12</f>
        <v>0.75</v>
      </c>
    </row>
    <row r="5" spans="1:4" x14ac:dyDescent="0.35">
      <c r="A5" s="36" t="s">
        <v>41</v>
      </c>
      <c r="B5" s="36"/>
      <c r="C5">
        <f>+(13+13+13)/52</f>
        <v>0.75</v>
      </c>
    </row>
    <row r="8" spans="1:4" x14ac:dyDescent="0.35">
      <c r="B8">
        <v>2023</v>
      </c>
      <c r="C8">
        <v>2024</v>
      </c>
      <c r="D8">
        <v>2025</v>
      </c>
    </row>
    <row r="9" spans="1:4" x14ac:dyDescent="0.35">
      <c r="A9" t="s">
        <v>498</v>
      </c>
      <c r="B9" s="45">
        <v>53</v>
      </c>
      <c r="C9" s="45">
        <v>52</v>
      </c>
      <c r="D9" s="45">
        <v>52</v>
      </c>
    </row>
    <row r="10" spans="1:4" x14ac:dyDescent="0.35">
      <c r="A10" t="s">
        <v>499</v>
      </c>
      <c r="C10" s="45">
        <v>26</v>
      </c>
      <c r="D10" s="45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2023-11-20T21:21:42Z</cp:lastPrinted>
  <dcterms:created xsi:type="dcterms:W3CDTF">2022-09-28T19:27:14Z</dcterms:created>
  <dcterms:modified xsi:type="dcterms:W3CDTF">2024-11-24T21:48:32Z</dcterms:modified>
</cp:coreProperties>
</file>